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575" yWindow="150" windowWidth="19260" windowHeight="8385"/>
  </bookViews>
  <sheets>
    <sheet name="recap" sheetId="9" r:id="rId1"/>
    <sheet name="with 02 08 update" sheetId="4" state="hidden" r:id="rId2"/>
  </sheets>
  <calcPr calcId="124519"/>
</workbook>
</file>

<file path=xl/calcChain.xml><?xml version="1.0" encoding="utf-8"?>
<calcChain xmlns="http://schemas.openxmlformats.org/spreadsheetml/2006/main">
  <c r="O1" i="9"/>
  <c r="O2"/>
  <c r="P2"/>
  <c r="Q2"/>
  <c r="R2"/>
  <c r="T2"/>
  <c r="E33"/>
  <c r="I8" i="4"/>
  <c r="R62" i="9"/>
  <c r="R63" s="1"/>
  <c r="R66" s="1"/>
  <c r="R67" s="1"/>
  <c r="Q62"/>
  <c r="Q63" s="1"/>
  <c r="Q66" s="1"/>
  <c r="Q67" s="1"/>
  <c r="P25" i="4"/>
  <c r="P26"/>
  <c r="P27"/>
  <c r="P28"/>
  <c r="P29"/>
  <c r="P30"/>
  <c r="P31"/>
  <c r="P32"/>
  <c r="P33"/>
  <c r="P34"/>
  <c r="P35"/>
  <c r="P36"/>
  <c r="P37"/>
  <c r="P38"/>
  <c r="P39"/>
  <c r="P40"/>
  <c r="P41"/>
  <c r="P42"/>
  <c r="P43"/>
  <c r="P44"/>
  <c r="P45"/>
  <c r="P46"/>
  <c r="P47"/>
  <c r="P48"/>
  <c r="P49"/>
  <c r="P50"/>
  <c r="P51"/>
  <c r="P52"/>
  <c r="P53"/>
  <c r="P54"/>
  <c r="P24"/>
  <c r="H25"/>
  <c r="H26"/>
  <c r="H27"/>
  <c r="H28"/>
  <c r="H29"/>
  <c r="H30"/>
  <c r="H31"/>
  <c r="H32"/>
  <c r="H33"/>
  <c r="H34"/>
  <c r="H35"/>
  <c r="H36"/>
  <c r="H37"/>
  <c r="H38"/>
  <c r="H39"/>
  <c r="H40"/>
  <c r="H41"/>
  <c r="H42"/>
  <c r="H43"/>
  <c r="H44"/>
  <c r="H45"/>
  <c r="H46"/>
  <c r="H47"/>
  <c r="H48"/>
  <c r="H49"/>
  <c r="H50"/>
  <c r="H51"/>
  <c r="H52"/>
  <c r="H53"/>
  <c r="H54"/>
  <c r="H24"/>
  <c r="E24" i="9" l="1"/>
  <c r="E23"/>
  <c r="I3" i="4"/>
  <c r="E7" i="9"/>
  <c r="I7" i="4"/>
  <c r="I1"/>
  <c r="R5" i="9"/>
  <c r="P5"/>
  <c r="Q5"/>
  <c r="E25" s="1"/>
  <c r="AR31" i="4"/>
  <c r="AR32"/>
  <c r="AR33"/>
  <c r="AR34"/>
  <c r="AR35"/>
  <c r="AR36"/>
  <c r="AR37"/>
  <c r="AR38"/>
  <c r="AR39"/>
  <c r="AR40"/>
  <c r="AR41"/>
  <c r="AR42"/>
  <c r="AR43"/>
  <c r="AR44"/>
  <c r="AR45"/>
  <c r="AR46"/>
  <c r="AR47"/>
  <c r="AR48"/>
  <c r="AR49"/>
  <c r="AR50"/>
  <c r="AR51"/>
  <c r="AR52"/>
  <c r="AR53"/>
  <c r="AR54"/>
  <c r="AR30"/>
  <c r="H16" i="9" l="1"/>
  <c r="C16" s="1"/>
  <c r="D26"/>
  <c r="F26"/>
  <c r="G25"/>
  <c r="G24" s="1"/>
  <c r="E15"/>
  <c r="C20" l="1"/>
  <c r="G26"/>
  <c r="H25" s="1"/>
  <c r="E17"/>
  <c r="E19" s="1"/>
  <c r="D25"/>
  <c r="D24" s="1"/>
  <c r="D23" s="1"/>
  <c r="H26" l="1"/>
  <c r="I25" s="1"/>
  <c r="I26" s="1"/>
  <c r="G19" l="1"/>
  <c r="G17"/>
  <c r="G15"/>
  <c r="G18"/>
  <c r="G20"/>
  <c r="F20"/>
  <c r="G16"/>
  <c r="F16"/>
  <c r="F18"/>
  <c r="E16"/>
  <c r="D16"/>
  <c r="H15"/>
  <c r="H17" s="1"/>
  <c r="C18" s="1"/>
  <c r="H18"/>
  <c r="H20" s="1"/>
  <c r="E18"/>
  <c r="E20" s="1"/>
  <c r="I4" i="4"/>
  <c r="H19" i="9"/>
  <c r="AA18" i="4"/>
  <c r="AA19" s="1"/>
  <c r="AA20" s="1"/>
  <c r="AA21" s="1"/>
  <c r="Z18"/>
  <c r="Z19" s="1"/>
  <c r="Z20" s="1"/>
  <c r="Z21" s="1"/>
  <c r="BQ4"/>
  <c r="BD4"/>
  <c r="BD2"/>
  <c r="I2"/>
  <c r="K1"/>
  <c r="I6" l="1"/>
  <c r="I9" s="1"/>
  <c r="I12" l="1"/>
  <c r="I32"/>
  <c r="Y32" s="1"/>
  <c r="AS30"/>
  <c r="AS29"/>
  <c r="AS31"/>
  <c r="AS54"/>
  <c r="AS53"/>
  <c r="AS52"/>
  <c r="AS51"/>
  <c r="AS50"/>
  <c r="AS49"/>
  <c r="AS48"/>
  <c r="AS47"/>
  <c r="AS46"/>
  <c r="AS45"/>
  <c r="AS44"/>
  <c r="AS43"/>
  <c r="AS42"/>
  <c r="AS41"/>
  <c r="AS40"/>
  <c r="AS39"/>
  <c r="AS38"/>
  <c r="AS37"/>
  <c r="AS36"/>
  <c r="AS35"/>
  <c r="AS34"/>
  <c r="AS33"/>
  <c r="AS32"/>
  <c r="AS12"/>
  <c r="Q30"/>
  <c r="Q31"/>
  <c r="Q54"/>
  <c r="Q53"/>
  <c r="Q52"/>
  <c r="Q51"/>
  <c r="Q50"/>
  <c r="Q49"/>
  <c r="Q48"/>
  <c r="Q47"/>
  <c r="Q46"/>
  <c r="Q45"/>
  <c r="Q44"/>
  <c r="Q43"/>
  <c r="Q42"/>
  <c r="Q41"/>
  <c r="Q40"/>
  <c r="Q39"/>
  <c r="Q38"/>
  <c r="Q37"/>
  <c r="Q36"/>
  <c r="Q35"/>
  <c r="Q34"/>
  <c r="Q33"/>
  <c r="Q32"/>
  <c r="I29"/>
  <c r="L29" s="1"/>
  <c r="I31"/>
  <c r="Y31" s="1"/>
  <c r="I54"/>
  <c r="Y54" s="1"/>
  <c r="I53"/>
  <c r="Y53" s="1"/>
  <c r="I52"/>
  <c r="Y52" s="1"/>
  <c r="I51"/>
  <c r="Y51" s="1"/>
  <c r="I50"/>
  <c r="Y50" s="1"/>
  <c r="I49"/>
  <c r="Y49" s="1"/>
  <c r="I48"/>
  <c r="Y48" s="1"/>
  <c r="I47"/>
  <c r="Y47" s="1"/>
  <c r="I46"/>
  <c r="Y46" s="1"/>
  <c r="I45"/>
  <c r="Y45" s="1"/>
  <c r="I44"/>
  <c r="Y44" s="1"/>
  <c r="I43"/>
  <c r="Y43" s="1"/>
  <c r="I42"/>
  <c r="Y42" s="1"/>
  <c r="I41"/>
  <c r="Y41" s="1"/>
  <c r="I40"/>
  <c r="Y40" s="1"/>
  <c r="I39"/>
  <c r="Y39" s="1"/>
  <c r="I38"/>
  <c r="Y38" s="1"/>
  <c r="I37"/>
  <c r="Y37" s="1"/>
  <c r="I36"/>
  <c r="Y36" s="1"/>
  <c r="I35"/>
  <c r="Y35" s="1"/>
  <c r="I34"/>
  <c r="Y34" s="1"/>
  <c r="I33"/>
  <c r="Y33" s="1"/>
  <c r="L33"/>
  <c r="Z33"/>
  <c r="L34"/>
  <c r="Z34"/>
  <c r="L35"/>
  <c r="Z35"/>
  <c r="Z36"/>
  <c r="L37"/>
  <c r="Z37"/>
  <c r="L38"/>
  <c r="Z38"/>
  <c r="L39"/>
  <c r="Z39"/>
  <c r="L40"/>
  <c r="Z40"/>
  <c r="L41"/>
  <c r="Z41"/>
  <c r="L42"/>
  <c r="Z42"/>
  <c r="L43"/>
  <c r="Z43"/>
  <c r="L44"/>
  <c r="Z44"/>
  <c r="L45"/>
  <c r="Z45"/>
  <c r="L46"/>
  <c r="Z46"/>
  <c r="Z47"/>
  <c r="Z48"/>
  <c r="Z49"/>
  <c r="Z50"/>
  <c r="Z51"/>
  <c r="Z52"/>
  <c r="Z53"/>
  <c r="Z54"/>
  <c r="L31"/>
  <c r="Z31"/>
  <c r="Y29"/>
  <c r="Z29" s="1"/>
  <c r="AV32"/>
  <c r="AW32"/>
  <c r="AT32"/>
  <c r="AV33"/>
  <c r="AW33"/>
  <c r="AT33"/>
  <c r="AV34"/>
  <c r="AW34"/>
  <c r="AT34"/>
  <c r="AV35"/>
  <c r="AW35"/>
  <c r="AT35"/>
  <c r="AV36"/>
  <c r="AW36"/>
  <c r="AT36"/>
  <c r="AV37"/>
  <c r="AW37"/>
  <c r="AT37"/>
  <c r="AV38"/>
  <c r="AW38"/>
  <c r="AT38"/>
  <c r="AV39"/>
  <c r="AW39"/>
  <c r="AT39"/>
  <c r="AV40"/>
  <c r="AW40"/>
  <c r="AT40"/>
  <c r="AV41"/>
  <c r="AW41"/>
  <c r="AT41"/>
  <c r="AV42"/>
  <c r="AW42"/>
  <c r="AT42"/>
  <c r="AV43"/>
  <c r="AW43"/>
  <c r="AT43"/>
  <c r="AV44"/>
  <c r="AW44"/>
  <c r="AT44"/>
  <c r="AV45"/>
  <c r="AW45"/>
  <c r="AT45"/>
  <c r="AV46"/>
  <c r="AW46"/>
  <c r="AT46"/>
  <c r="AV47"/>
  <c r="AW47"/>
  <c r="AT47"/>
  <c r="AV48"/>
  <c r="AW48"/>
  <c r="AT48"/>
  <c r="AV49"/>
  <c r="AW49"/>
  <c r="AT49"/>
  <c r="AV50"/>
  <c r="AW50"/>
  <c r="AT50"/>
  <c r="AV51"/>
  <c r="AW51"/>
  <c r="AT51"/>
  <c r="AV52"/>
  <c r="AW52"/>
  <c r="AT52"/>
  <c r="AV53"/>
  <c r="AW53"/>
  <c r="AT53"/>
  <c r="AV54"/>
  <c r="AW54"/>
  <c r="AT54"/>
  <c r="AV31"/>
  <c r="AW31"/>
  <c r="AT31"/>
  <c r="AV29"/>
  <c r="AW29" s="1"/>
  <c r="AT29"/>
  <c r="AU29" s="1"/>
  <c r="AV30"/>
  <c r="AW30"/>
  <c r="AI33"/>
  <c r="AJ33" s="1"/>
  <c r="AI34"/>
  <c r="AJ34" s="1"/>
  <c r="AI35"/>
  <c r="AJ35" s="1"/>
  <c r="AI37"/>
  <c r="AJ37" s="1"/>
  <c r="AL38"/>
  <c r="AI38"/>
  <c r="AJ38" s="1"/>
  <c r="AI39"/>
  <c r="AJ39" s="1"/>
  <c r="AI40"/>
  <c r="AJ40" s="1"/>
  <c r="AI41"/>
  <c r="AJ41" s="1"/>
  <c r="AI42"/>
  <c r="AJ42" s="1"/>
  <c r="AI43"/>
  <c r="AJ43" s="1"/>
  <c r="AI44"/>
  <c r="AJ44" s="1"/>
  <c r="AI45"/>
  <c r="AJ45" s="1"/>
  <c r="AI46"/>
  <c r="AJ46" s="1"/>
  <c r="AL31"/>
  <c r="AI31"/>
  <c r="AJ31" s="1"/>
  <c r="L36"/>
  <c r="Z6"/>
  <c r="Z4"/>
  <c r="J29"/>
  <c r="T32"/>
  <c r="U32" s="1"/>
  <c r="R32"/>
  <c r="T33"/>
  <c r="U33" s="1"/>
  <c r="R33"/>
  <c r="T34"/>
  <c r="U34" s="1"/>
  <c r="R34"/>
  <c r="T35"/>
  <c r="U35" s="1"/>
  <c r="R35"/>
  <c r="T36"/>
  <c r="U36" s="1"/>
  <c r="R36"/>
  <c r="T37"/>
  <c r="U37" s="1"/>
  <c r="R37"/>
  <c r="T38"/>
  <c r="U38" s="1"/>
  <c r="R38"/>
  <c r="T39"/>
  <c r="U39" s="1"/>
  <c r="R39"/>
  <c r="T40"/>
  <c r="U40" s="1"/>
  <c r="R40"/>
  <c r="T41"/>
  <c r="U41" s="1"/>
  <c r="R41"/>
  <c r="T42"/>
  <c r="U42" s="1"/>
  <c r="R42"/>
  <c r="T43"/>
  <c r="U43" s="1"/>
  <c r="R43"/>
  <c r="T44"/>
  <c r="U44" s="1"/>
  <c r="R44"/>
  <c r="T45"/>
  <c r="U45" s="1"/>
  <c r="R45"/>
  <c r="T46"/>
  <c r="U46" s="1"/>
  <c r="R46"/>
  <c r="T47"/>
  <c r="U47" s="1"/>
  <c r="R47"/>
  <c r="T48"/>
  <c r="U48" s="1"/>
  <c r="R48"/>
  <c r="T49"/>
  <c r="U49" s="1"/>
  <c r="R49"/>
  <c r="T50"/>
  <c r="U50" s="1"/>
  <c r="R50"/>
  <c r="T51"/>
  <c r="U51" s="1"/>
  <c r="R51"/>
  <c r="T52"/>
  <c r="U52" s="1"/>
  <c r="R52"/>
  <c r="T53"/>
  <c r="U53" s="1"/>
  <c r="R53"/>
  <c r="T54"/>
  <c r="U54" s="1"/>
  <c r="R54"/>
  <c r="T31"/>
  <c r="U31" s="1"/>
  <c r="R31"/>
  <c r="R30"/>
  <c r="T30"/>
  <c r="U30" s="1"/>
  <c r="L47"/>
  <c r="J47"/>
  <c r="L48"/>
  <c r="J48"/>
  <c r="L49"/>
  <c r="J49"/>
  <c r="L50"/>
  <c r="J50"/>
  <c r="L51"/>
  <c r="J51"/>
  <c r="L52"/>
  <c r="J52"/>
  <c r="L53"/>
  <c r="J53"/>
  <c r="L54"/>
  <c r="J54"/>
  <c r="BQ12"/>
  <c r="Q24" l="1"/>
  <c r="T24" s="1"/>
  <c r="AS24"/>
  <c r="I24"/>
  <c r="L24" s="1"/>
  <c r="I30"/>
  <c r="I25"/>
  <c r="L25" s="1"/>
  <c r="AS25"/>
  <c r="Q25"/>
  <c r="T25" s="1"/>
  <c r="U24"/>
  <c r="R24"/>
  <c r="AX30"/>
  <c r="AX31"/>
  <c r="BA31"/>
  <c r="A31" s="1"/>
  <c r="AX53"/>
  <c r="BA53"/>
  <c r="A53" s="1"/>
  <c r="AX52"/>
  <c r="BA52"/>
  <c r="A52" s="1"/>
  <c r="AX51"/>
  <c r="BA51"/>
  <c r="A51" s="1"/>
  <c r="AX50"/>
  <c r="BA50"/>
  <c r="A50" s="1"/>
  <c r="AX49"/>
  <c r="BA49"/>
  <c r="A49" s="1"/>
  <c r="AX48"/>
  <c r="BA48"/>
  <c r="A48" s="1"/>
  <c r="AX47"/>
  <c r="BA47"/>
  <c r="A47" s="1"/>
  <c r="AX46"/>
  <c r="BA46"/>
  <c r="A46" s="1"/>
  <c r="AX45"/>
  <c r="BA45"/>
  <c r="A45" s="1"/>
  <c r="AX44"/>
  <c r="BA44"/>
  <c r="A44" s="1"/>
  <c r="AX43"/>
  <c r="BA43"/>
  <c r="A43" s="1"/>
  <c r="AX42"/>
  <c r="BA42"/>
  <c r="A42" s="1"/>
  <c r="AX41"/>
  <c r="BA41"/>
  <c r="A41" s="1"/>
  <c r="AX40"/>
  <c r="BA40"/>
  <c r="A40" s="1"/>
  <c r="AX39"/>
  <c r="BA39"/>
  <c r="A39" s="1"/>
  <c r="AX38"/>
  <c r="BA38"/>
  <c r="A38" s="1"/>
  <c r="AX37"/>
  <c r="BA37"/>
  <c r="A37" s="1"/>
  <c r="AX36"/>
  <c r="BA36"/>
  <c r="A36" s="1"/>
  <c r="AX35"/>
  <c r="BA35"/>
  <c r="A35" s="1"/>
  <c r="AX34"/>
  <c r="BA34"/>
  <c r="A34" s="1"/>
  <c r="AX33"/>
  <c r="BA33"/>
  <c r="A33" s="1"/>
  <c r="AX32"/>
  <c r="BA32"/>
  <c r="A32" s="1"/>
  <c r="BA29"/>
  <c r="A29" s="1"/>
  <c r="AX54"/>
  <c r="BA54"/>
  <c r="A54" s="1"/>
  <c r="AK31"/>
  <c r="AK46"/>
  <c r="AK45"/>
  <c r="AK44"/>
  <c r="AK43"/>
  <c r="AK42"/>
  <c r="AK41"/>
  <c r="AK40"/>
  <c r="AK39"/>
  <c r="AK38"/>
  <c r="AK37"/>
  <c r="AK35"/>
  <c r="AK34"/>
  <c r="AK33"/>
  <c r="AV24"/>
  <c r="AW24"/>
  <c r="AT24"/>
  <c r="AU24" s="1"/>
  <c r="Q29"/>
  <c r="T29" s="1"/>
  <c r="Y24"/>
  <c r="Z24" s="1"/>
  <c r="J24"/>
  <c r="W24" s="1"/>
  <c r="X24" s="1"/>
  <c r="L32"/>
  <c r="AI32" s="1"/>
  <c r="AJ32" s="1"/>
  <c r="Z32"/>
  <c r="BB29"/>
  <c r="AX29"/>
  <c r="AA29"/>
  <c r="AA54"/>
  <c r="AA53"/>
  <c r="AA52"/>
  <c r="AA51"/>
  <c r="AA50"/>
  <c r="AA49"/>
  <c r="AA48"/>
  <c r="AA47"/>
  <c r="AA36"/>
  <c r="AI54"/>
  <c r="AJ54" s="1"/>
  <c r="AI53"/>
  <c r="AJ53" s="1"/>
  <c r="AI52"/>
  <c r="AJ52" s="1"/>
  <c r="AI51"/>
  <c r="AJ51" s="1"/>
  <c r="AI50"/>
  <c r="AJ50" s="1"/>
  <c r="AI49"/>
  <c r="AJ49" s="1"/>
  <c r="AI48"/>
  <c r="AJ48" s="1"/>
  <c r="AI47"/>
  <c r="AJ47" s="1"/>
  <c r="M29"/>
  <c r="AI29"/>
  <c r="AJ29" s="1"/>
  <c r="AI36"/>
  <c r="AJ36" s="1"/>
  <c r="W54"/>
  <c r="X54" s="1"/>
  <c r="W53"/>
  <c r="X53" s="1"/>
  <c r="W52"/>
  <c r="X52" s="1"/>
  <c r="W51"/>
  <c r="X51" s="1"/>
  <c r="W50"/>
  <c r="X50" s="1"/>
  <c r="W49"/>
  <c r="X49" s="1"/>
  <c r="W48"/>
  <c r="X48" s="1"/>
  <c r="W47"/>
  <c r="X47" s="1"/>
  <c r="J30"/>
  <c r="W30" s="1"/>
  <c r="X30" s="1"/>
  <c r="BR30"/>
  <c r="BQ30"/>
  <c r="AT30"/>
  <c r="AU30" s="1"/>
  <c r="AA31"/>
  <c r="J31"/>
  <c r="W31" s="1"/>
  <c r="X31" s="1"/>
  <c r="BR31"/>
  <c r="AU31"/>
  <c r="AA32"/>
  <c r="J32"/>
  <c r="W32" s="1"/>
  <c r="BR32"/>
  <c r="AU32"/>
  <c r="AA33"/>
  <c r="J33"/>
  <c r="W33" s="1"/>
  <c r="X33" s="1"/>
  <c r="BR33"/>
  <c r="AU33"/>
  <c r="AA34"/>
  <c r="J34"/>
  <c r="W34" s="1"/>
  <c r="X34" s="1"/>
  <c r="BR34"/>
  <c r="AU34"/>
  <c r="AA35"/>
  <c r="J35"/>
  <c r="W35" s="1"/>
  <c r="X35" s="1"/>
  <c r="BR35"/>
  <c r="AU35"/>
  <c r="J36"/>
  <c r="W36" s="1"/>
  <c r="X36" s="1"/>
  <c r="BR36"/>
  <c r="AU36"/>
  <c r="AA37"/>
  <c r="J37"/>
  <c r="W37" s="1"/>
  <c r="X37" s="1"/>
  <c r="BR37"/>
  <c r="AU37"/>
  <c r="AA38"/>
  <c r="J38"/>
  <c r="W38" s="1"/>
  <c r="X38" s="1"/>
  <c r="BR38"/>
  <c r="AU38"/>
  <c r="AA39"/>
  <c r="J39"/>
  <c r="W39" s="1"/>
  <c r="X39" s="1"/>
  <c r="BR39"/>
  <c r="AU39"/>
  <c r="AA40"/>
  <c r="J40"/>
  <c r="W40" s="1"/>
  <c r="X40" s="1"/>
  <c r="BR40"/>
  <c r="AU40"/>
  <c r="AA41"/>
  <c r="J41"/>
  <c r="W41" s="1"/>
  <c r="X41" s="1"/>
  <c r="BR41"/>
  <c r="AU41"/>
  <c r="AA42"/>
  <c r="J42"/>
  <c r="W42" s="1"/>
  <c r="X42" s="1"/>
  <c r="BR42"/>
  <c r="AU42"/>
  <c r="AA43"/>
  <c r="J43"/>
  <c r="W43" s="1"/>
  <c r="X43" s="1"/>
  <c r="BR43"/>
  <c r="AU43"/>
  <c r="AA44"/>
  <c r="J44"/>
  <c r="W44" s="1"/>
  <c r="X44" s="1"/>
  <c r="BR44"/>
  <c r="AU44"/>
  <c r="AA45"/>
  <c r="J45"/>
  <c r="W45" s="1"/>
  <c r="X45" s="1"/>
  <c r="BR45"/>
  <c r="AU45"/>
  <c r="AA46"/>
  <c r="J46"/>
  <c r="W46" s="1"/>
  <c r="X46" s="1"/>
  <c r="BR46"/>
  <c r="AU46"/>
  <c r="AG47"/>
  <c r="AH47" s="1"/>
  <c r="BR47"/>
  <c r="AU47"/>
  <c r="AG48"/>
  <c r="AH48" s="1"/>
  <c r="BR48"/>
  <c r="AU48"/>
  <c r="AG49"/>
  <c r="AH49" s="1"/>
  <c r="BR49"/>
  <c r="AU49"/>
  <c r="AG50"/>
  <c r="AH50" s="1"/>
  <c r="BR50"/>
  <c r="AU50"/>
  <c r="AG51"/>
  <c r="AH51" s="1"/>
  <c r="BR51"/>
  <c r="AU51"/>
  <c r="AG52"/>
  <c r="AH52" s="1"/>
  <c r="BR52"/>
  <c r="AU52"/>
  <c r="AG53"/>
  <c r="AH53" s="1"/>
  <c r="BR53"/>
  <c r="AU53"/>
  <c r="AG54"/>
  <c r="AH54" s="1"/>
  <c r="BR54"/>
  <c r="AU54"/>
  <c r="M31"/>
  <c r="AG31" s="1"/>
  <c r="AH31" s="1"/>
  <c r="M32"/>
  <c r="AG32" s="1"/>
  <c r="AH32" s="1"/>
  <c r="M33"/>
  <c r="AG33" s="1"/>
  <c r="AH33" s="1"/>
  <c r="M34"/>
  <c r="AG34" s="1"/>
  <c r="AH34" s="1"/>
  <c r="M35"/>
  <c r="AG35" s="1"/>
  <c r="M36"/>
  <c r="AG36" s="1"/>
  <c r="AH36" s="1"/>
  <c r="M37"/>
  <c r="AG37" s="1"/>
  <c r="AH37" s="1"/>
  <c r="M38"/>
  <c r="AG38" s="1"/>
  <c r="AH38" s="1"/>
  <c r="M39"/>
  <c r="AG39" s="1"/>
  <c r="AH39" s="1"/>
  <c r="M40"/>
  <c r="AG40" s="1"/>
  <c r="AH40" s="1"/>
  <c r="M41"/>
  <c r="AG41" s="1"/>
  <c r="AH41" s="1"/>
  <c r="M42"/>
  <c r="AG42" s="1"/>
  <c r="AH42" s="1"/>
  <c r="M43"/>
  <c r="AG43" s="1"/>
  <c r="AH43" s="1"/>
  <c r="M44"/>
  <c r="AG44" s="1"/>
  <c r="AH44" s="1"/>
  <c r="M45"/>
  <c r="AG45" s="1"/>
  <c r="AH45" s="1"/>
  <c r="M46"/>
  <c r="AG46" s="1"/>
  <c r="AH46" s="1"/>
  <c r="AH35" l="1"/>
  <c r="Y30"/>
  <c r="L30"/>
  <c r="Z30"/>
  <c r="AA30" s="1"/>
  <c r="J25"/>
  <c r="Y25"/>
  <c r="Z25"/>
  <c r="I26"/>
  <c r="L26" s="1"/>
  <c r="R25"/>
  <c r="W25" s="1"/>
  <c r="X25" s="1"/>
  <c r="U25"/>
  <c r="Q26"/>
  <c r="T26" s="1"/>
  <c r="AT25"/>
  <c r="AU25" s="1"/>
  <c r="AV25"/>
  <c r="AW25"/>
  <c r="AS26"/>
  <c r="J26"/>
  <c r="Y26"/>
  <c r="Z26"/>
  <c r="AA25"/>
  <c r="AD25"/>
  <c r="M25"/>
  <c r="AI25"/>
  <c r="AJ25"/>
  <c r="BA24"/>
  <c r="A24" s="1"/>
  <c r="BA30"/>
  <c r="A30" s="1"/>
  <c r="AK36"/>
  <c r="AN36"/>
  <c r="B36" s="1"/>
  <c r="AK47"/>
  <c r="AN47"/>
  <c r="B47" s="1"/>
  <c r="AK48"/>
  <c r="AN48"/>
  <c r="B48" s="1"/>
  <c r="AK49"/>
  <c r="AN49"/>
  <c r="B49" s="1"/>
  <c r="AK50"/>
  <c r="AN50"/>
  <c r="B50" s="1"/>
  <c r="AK51"/>
  <c r="AN51"/>
  <c r="B51" s="1"/>
  <c r="AK52"/>
  <c r="AN52"/>
  <c r="B52" s="1"/>
  <c r="AK53"/>
  <c r="AN53"/>
  <c r="B53" s="1"/>
  <c r="AK32"/>
  <c r="AN32"/>
  <c r="B32" s="1"/>
  <c r="AN33"/>
  <c r="B33" s="1"/>
  <c r="AN34"/>
  <c r="B34" s="1"/>
  <c r="AN35"/>
  <c r="B35" s="1"/>
  <c r="AN37"/>
  <c r="B37" s="1"/>
  <c r="AN38"/>
  <c r="B38" s="1"/>
  <c r="AN39"/>
  <c r="B39" s="1"/>
  <c r="AN40"/>
  <c r="B40" s="1"/>
  <c r="AN41"/>
  <c r="B41" s="1"/>
  <c r="AN42"/>
  <c r="B42" s="1"/>
  <c r="AN43"/>
  <c r="B43" s="1"/>
  <c r="AN44"/>
  <c r="B44" s="1"/>
  <c r="AN45"/>
  <c r="B45" s="1"/>
  <c r="AN46"/>
  <c r="B46" s="1"/>
  <c r="AN31"/>
  <c r="B31" s="1"/>
  <c r="AK54"/>
  <c r="AN54"/>
  <c r="B54" s="1"/>
  <c r="AD32"/>
  <c r="C32" s="1"/>
  <c r="AD24"/>
  <c r="C24" s="1"/>
  <c r="AD33"/>
  <c r="C33" s="1"/>
  <c r="AD34"/>
  <c r="C34" s="1"/>
  <c r="AD35"/>
  <c r="C35" s="1"/>
  <c r="AD36"/>
  <c r="C36" s="1"/>
  <c r="AD37"/>
  <c r="C37" s="1"/>
  <c r="AD38"/>
  <c r="C38" s="1"/>
  <c r="AD39"/>
  <c r="C39" s="1"/>
  <c r="AD40"/>
  <c r="C40" s="1"/>
  <c r="AD41"/>
  <c r="C41" s="1"/>
  <c r="AD42"/>
  <c r="C42" s="1"/>
  <c r="AD43"/>
  <c r="C43" s="1"/>
  <c r="AD44"/>
  <c r="C44" s="1"/>
  <c r="AD45"/>
  <c r="C45" s="1"/>
  <c r="AD46"/>
  <c r="C46" s="1"/>
  <c r="AD47"/>
  <c r="C47" s="1"/>
  <c r="AD48"/>
  <c r="C48" s="1"/>
  <c r="AD49"/>
  <c r="C49" s="1"/>
  <c r="AD50"/>
  <c r="C50" s="1"/>
  <c r="AD51"/>
  <c r="C51" s="1"/>
  <c r="AD52"/>
  <c r="C52" s="1"/>
  <c r="AD53"/>
  <c r="C53" s="1"/>
  <c r="AD31"/>
  <c r="C31" s="1"/>
  <c r="AD30"/>
  <c r="C30" s="1"/>
  <c r="AD54"/>
  <c r="C54" s="1"/>
  <c r="AX24"/>
  <c r="BB24"/>
  <c r="AS27"/>
  <c r="U29"/>
  <c r="AG29" s="1"/>
  <c r="AH29" s="1"/>
  <c r="R29"/>
  <c r="W29" s="1"/>
  <c r="M24"/>
  <c r="AG24" s="1"/>
  <c r="AH24" s="1"/>
  <c r="AI24"/>
  <c r="AJ24"/>
  <c r="AN24" s="1"/>
  <c r="B24" s="1"/>
  <c r="AA24"/>
  <c r="AE24"/>
  <c r="I27"/>
  <c r="L27" s="1"/>
  <c r="X32"/>
  <c r="AE32"/>
  <c r="AE33"/>
  <c r="AE34"/>
  <c r="AE38"/>
  <c r="AE39"/>
  <c r="AE40"/>
  <c r="AE41"/>
  <c r="AE42"/>
  <c r="AE43"/>
  <c r="AE44"/>
  <c r="AE45"/>
  <c r="AE46"/>
  <c r="AE31"/>
  <c r="AE30"/>
  <c r="AE47"/>
  <c r="AE48"/>
  <c r="AE49"/>
  <c r="AE50"/>
  <c r="AE51"/>
  <c r="AE52"/>
  <c r="AE53"/>
  <c r="AE54"/>
  <c r="AK29"/>
  <c r="BS54"/>
  <c r="BT54" s="1"/>
  <c r="BU54" s="1"/>
  <c r="BB54"/>
  <c r="BS53"/>
  <c r="BT53" s="1"/>
  <c r="BU53" s="1"/>
  <c r="BB53"/>
  <c r="BS52"/>
  <c r="BT52" s="1"/>
  <c r="BU52" s="1"/>
  <c r="BB52"/>
  <c r="BS51"/>
  <c r="BT51" s="1"/>
  <c r="BU51" s="1"/>
  <c r="BB51"/>
  <c r="BS50"/>
  <c r="BT50" s="1"/>
  <c r="BU50" s="1"/>
  <c r="BB50"/>
  <c r="BS49"/>
  <c r="BT49" s="1"/>
  <c r="BU49" s="1"/>
  <c r="BB49"/>
  <c r="BS48"/>
  <c r="BT48" s="1"/>
  <c r="BU48" s="1"/>
  <c r="BB48"/>
  <c r="BS47"/>
  <c r="BT47" s="1"/>
  <c r="BU47" s="1"/>
  <c r="BB47"/>
  <c r="BS46"/>
  <c r="BT46" s="1"/>
  <c r="BU46" s="1"/>
  <c r="BB46"/>
  <c r="BD46"/>
  <c r="BF46" s="1"/>
  <c r="BE46"/>
  <c r="BS45"/>
  <c r="BT45" s="1"/>
  <c r="BU45" s="1"/>
  <c r="BB45"/>
  <c r="BD45"/>
  <c r="BF45" s="1"/>
  <c r="BE45"/>
  <c r="BS44"/>
  <c r="BT44" s="1"/>
  <c r="BU44" s="1"/>
  <c r="BB44"/>
  <c r="BD44"/>
  <c r="BF44" s="1"/>
  <c r="BE44"/>
  <c r="BS43"/>
  <c r="BT43" s="1"/>
  <c r="BU43" s="1"/>
  <c r="BB43"/>
  <c r="BD43"/>
  <c r="BF43" s="1"/>
  <c r="BE43"/>
  <c r="BS42"/>
  <c r="BT42" s="1"/>
  <c r="BU42" s="1"/>
  <c r="BB42"/>
  <c r="BD42"/>
  <c r="BF42" s="1"/>
  <c r="BE42"/>
  <c r="BS41"/>
  <c r="BT41" s="1"/>
  <c r="BU41" s="1"/>
  <c r="BB41"/>
  <c r="BD41"/>
  <c r="BF41" s="1"/>
  <c r="BE41"/>
  <c r="BS40"/>
  <c r="BT40" s="1"/>
  <c r="BU40" s="1"/>
  <c r="BB40"/>
  <c r="BD40"/>
  <c r="BF40" s="1"/>
  <c r="BE40"/>
  <c r="BS39"/>
  <c r="BT39" s="1"/>
  <c r="BU39" s="1"/>
  <c r="BB39"/>
  <c r="BD39"/>
  <c r="BF39" s="1"/>
  <c r="BE39"/>
  <c r="BS38"/>
  <c r="BT38" s="1"/>
  <c r="BU38" s="1"/>
  <c r="BB38"/>
  <c r="BD38"/>
  <c r="BF38" s="1"/>
  <c r="BE38"/>
  <c r="BS37"/>
  <c r="BT37" s="1"/>
  <c r="BU37" s="1"/>
  <c r="BB37"/>
  <c r="BD37"/>
  <c r="BF37" s="1"/>
  <c r="BS36"/>
  <c r="BT36" s="1"/>
  <c r="BU36" s="1"/>
  <c r="BB36"/>
  <c r="BD36"/>
  <c r="BF36" s="1"/>
  <c r="BS35"/>
  <c r="BT35" s="1"/>
  <c r="BU35" s="1"/>
  <c r="BB35"/>
  <c r="BD35"/>
  <c r="BF35" s="1"/>
  <c r="BS34"/>
  <c r="BT34" s="1"/>
  <c r="BU34" s="1"/>
  <c r="BD34"/>
  <c r="BF34" s="1"/>
  <c r="BS33"/>
  <c r="BT33" s="1"/>
  <c r="BU33" s="1"/>
  <c r="BD33"/>
  <c r="BF33" s="1"/>
  <c r="BS32"/>
  <c r="BT32" s="1"/>
  <c r="BU32" s="1"/>
  <c r="BB32"/>
  <c r="BD32"/>
  <c r="BF32" s="1"/>
  <c r="BE32"/>
  <c r="BS31"/>
  <c r="BT31" s="1"/>
  <c r="BU31" s="1"/>
  <c r="BB31"/>
  <c r="BD31"/>
  <c r="BF31" s="1"/>
  <c r="BE31"/>
  <c r="BS30"/>
  <c r="BT30" s="1"/>
  <c r="BU30" s="1"/>
  <c r="BB30"/>
  <c r="BD30"/>
  <c r="BF30" s="1"/>
  <c r="BE30"/>
  <c r="AO46"/>
  <c r="AO45"/>
  <c r="AO44"/>
  <c r="AO43"/>
  <c r="AO42"/>
  <c r="AO41"/>
  <c r="AO40"/>
  <c r="AO39"/>
  <c r="AO38"/>
  <c r="AO37"/>
  <c r="AO33"/>
  <c r="AO32"/>
  <c r="AO31"/>
  <c r="AO54"/>
  <c r="AO53"/>
  <c r="AO52"/>
  <c r="AO51"/>
  <c r="AO50"/>
  <c r="AO49"/>
  <c r="AO48"/>
  <c r="AO47"/>
  <c r="AE25" l="1"/>
  <c r="C25"/>
  <c r="AI30"/>
  <c r="AJ30" s="1"/>
  <c r="M30"/>
  <c r="AG30" s="1"/>
  <c r="AH30" s="1"/>
  <c r="AK25"/>
  <c r="AA26"/>
  <c r="M26"/>
  <c r="AI26"/>
  <c r="AJ26"/>
  <c r="AT26"/>
  <c r="AU26" s="1"/>
  <c r="AV26"/>
  <c r="AW26"/>
  <c r="AX25"/>
  <c r="BA25"/>
  <c r="R26"/>
  <c r="W26" s="1"/>
  <c r="X26" s="1"/>
  <c r="U26"/>
  <c r="AG26" s="1"/>
  <c r="AH26" s="1"/>
  <c r="Q27"/>
  <c r="T27" s="1"/>
  <c r="AG25"/>
  <c r="AH25" s="1"/>
  <c r="AN29"/>
  <c r="B29" s="1"/>
  <c r="X29"/>
  <c r="AD29"/>
  <c r="C29" s="1"/>
  <c r="AE35"/>
  <c r="BE35" s="1"/>
  <c r="AO34"/>
  <c r="AV27"/>
  <c r="AW27"/>
  <c r="AS28"/>
  <c r="AT27"/>
  <c r="AU27" s="1"/>
  <c r="AK24"/>
  <c r="AO24"/>
  <c r="Y27"/>
  <c r="Z27" s="1"/>
  <c r="J27"/>
  <c r="I28"/>
  <c r="L28" s="1"/>
  <c r="BB33"/>
  <c r="BE33" s="1"/>
  <c r="AE36"/>
  <c r="BE36" s="1"/>
  <c r="AE37"/>
  <c r="BE37" s="1"/>
  <c r="AO35"/>
  <c r="AO36"/>
  <c r="BB34"/>
  <c r="BE34" s="1"/>
  <c r="AE29"/>
  <c r="BE29" s="1"/>
  <c r="BD29"/>
  <c r="BF29" s="1"/>
  <c r="BH47"/>
  <c r="BI47"/>
  <c r="BD47"/>
  <c r="BF47" s="1"/>
  <c r="BE47"/>
  <c r="BH48"/>
  <c r="BI48"/>
  <c r="BD48"/>
  <c r="BF48" s="1"/>
  <c r="BE48"/>
  <c r="BH49"/>
  <c r="BI49"/>
  <c r="BD49"/>
  <c r="BF49" s="1"/>
  <c r="BE49"/>
  <c r="BH50"/>
  <c r="BI50"/>
  <c r="BD50"/>
  <c r="BF50" s="1"/>
  <c r="BE50"/>
  <c r="BH51"/>
  <c r="BI51"/>
  <c r="BD51"/>
  <c r="BF51" s="1"/>
  <c r="BE51"/>
  <c r="BH52"/>
  <c r="BI52"/>
  <c r="BD52"/>
  <c r="BF52" s="1"/>
  <c r="BE52"/>
  <c r="BH53"/>
  <c r="BI53"/>
  <c r="BD53"/>
  <c r="BF53" s="1"/>
  <c r="BE53"/>
  <c r="BH54"/>
  <c r="BI54"/>
  <c r="BD54"/>
  <c r="BE54"/>
  <c r="BH31"/>
  <c r="BI31"/>
  <c r="BH32"/>
  <c r="BI32"/>
  <c r="BH33"/>
  <c r="BI33"/>
  <c r="BH34"/>
  <c r="BI34"/>
  <c r="BH35"/>
  <c r="BI35"/>
  <c r="BH36"/>
  <c r="BI36"/>
  <c r="BH37"/>
  <c r="BI37"/>
  <c r="BH38"/>
  <c r="BI38"/>
  <c r="BH39"/>
  <c r="BI39"/>
  <c r="BH40"/>
  <c r="BI40"/>
  <c r="BH41"/>
  <c r="BI41"/>
  <c r="BH42"/>
  <c r="BI42"/>
  <c r="BH43"/>
  <c r="BI43"/>
  <c r="BH44"/>
  <c r="BI44"/>
  <c r="BH45"/>
  <c r="BI45"/>
  <c r="BH46"/>
  <c r="BI46"/>
  <c r="BB25" l="1"/>
  <c r="A25"/>
  <c r="AK30"/>
  <c r="AN30"/>
  <c r="B30" s="1"/>
  <c r="AO29"/>
  <c r="U27"/>
  <c r="Q28"/>
  <c r="T28" s="1"/>
  <c r="R27"/>
  <c r="AX26"/>
  <c r="BA26"/>
  <c r="AK26"/>
  <c r="AN26"/>
  <c r="W27"/>
  <c r="X27" s="1"/>
  <c r="AD26"/>
  <c r="AN25"/>
  <c r="BA27"/>
  <c r="A27" s="1"/>
  <c r="AD27"/>
  <c r="C27" s="1"/>
  <c r="AX27"/>
  <c r="BB27"/>
  <c r="AT28"/>
  <c r="AU28" s="1"/>
  <c r="AV28"/>
  <c r="AW28"/>
  <c r="BA28" s="1"/>
  <c r="A28" s="1"/>
  <c r="M27"/>
  <c r="AG27" s="1"/>
  <c r="AH27" s="1"/>
  <c r="AI27"/>
  <c r="AJ27"/>
  <c r="AN27" s="1"/>
  <c r="B27" s="1"/>
  <c r="AA27"/>
  <c r="AE27"/>
  <c r="Y28"/>
  <c r="Z28" s="1"/>
  <c r="J28"/>
  <c r="BL46"/>
  <c r="BJ46"/>
  <c r="BL45"/>
  <c r="BJ45"/>
  <c r="BL44"/>
  <c r="BJ44"/>
  <c r="BL43"/>
  <c r="BJ43"/>
  <c r="BL42"/>
  <c r="BJ42"/>
  <c r="BL41"/>
  <c r="BJ41"/>
  <c r="BL40"/>
  <c r="BJ40"/>
  <c r="BL39"/>
  <c r="BJ39"/>
  <c r="BL38"/>
  <c r="BJ38"/>
  <c r="BL37"/>
  <c r="BJ37"/>
  <c r="BL36"/>
  <c r="BJ36"/>
  <c r="BL35"/>
  <c r="BJ35"/>
  <c r="BL34"/>
  <c r="BJ34"/>
  <c r="BL33"/>
  <c r="BJ33"/>
  <c r="BL32"/>
  <c r="BJ32"/>
  <c r="BL31"/>
  <c r="BJ31"/>
  <c r="BL53"/>
  <c r="BJ53"/>
  <c r="BL52"/>
  <c r="BJ52"/>
  <c r="BL51"/>
  <c r="BJ51"/>
  <c r="BL50"/>
  <c r="BJ50"/>
  <c r="BL49"/>
  <c r="BJ49"/>
  <c r="BL48"/>
  <c r="BJ48"/>
  <c r="BL47"/>
  <c r="BJ47"/>
  <c r="AO25" l="1"/>
  <c r="B25"/>
  <c r="AE26"/>
  <c r="C26"/>
  <c r="AO26"/>
  <c r="B26"/>
  <c r="BB26"/>
  <c r="A26"/>
  <c r="D27" i="9"/>
  <c r="AO30" i="4"/>
  <c r="BI30" s="1"/>
  <c r="BH30"/>
  <c r="R28"/>
  <c r="U28"/>
  <c r="W28"/>
  <c r="X28" s="1"/>
  <c r="AD28"/>
  <c r="C28" s="1"/>
  <c r="AX28"/>
  <c r="BB28"/>
  <c r="AK27"/>
  <c r="AO27"/>
  <c r="M28"/>
  <c r="AG28" s="1"/>
  <c r="AH28" s="1"/>
  <c r="AI28"/>
  <c r="AJ28"/>
  <c r="AN28" s="1"/>
  <c r="B28" s="1"/>
  <c r="AA28"/>
  <c r="AE28"/>
  <c r="I32" i="9"/>
  <c r="E32" l="1"/>
  <c r="F32"/>
  <c r="G32"/>
  <c r="H32"/>
  <c r="I27"/>
  <c r="H27"/>
  <c r="H35" s="1"/>
  <c r="F27"/>
  <c r="F35" s="1"/>
  <c r="G27"/>
  <c r="G35" s="1"/>
  <c r="E27"/>
  <c r="E29"/>
  <c r="D28"/>
  <c r="D29"/>
  <c r="BL30" i="4"/>
  <c r="BJ30"/>
  <c r="AK28"/>
  <c r="AO28"/>
  <c r="H28" i="9"/>
  <c r="I28"/>
  <c r="F28"/>
  <c r="E28"/>
  <c r="H29"/>
  <c r="I29"/>
  <c r="F29"/>
  <c r="K53" l="1"/>
  <c r="E35"/>
  <c r="O52"/>
  <c r="O53"/>
  <c r="N52"/>
  <c r="N53"/>
  <c r="M52"/>
  <c r="M53"/>
  <c r="L52"/>
  <c r="L53"/>
  <c r="E52"/>
  <c r="K52"/>
  <c r="H53"/>
  <c r="I53"/>
  <c r="H52"/>
  <c r="I44"/>
  <c r="I45" s="1"/>
  <c r="I47" s="1"/>
  <c r="I48" s="1"/>
  <c r="I52"/>
  <c r="H44"/>
  <c r="H45"/>
  <c r="H47" s="1"/>
  <c r="H48" s="1"/>
  <c r="H36"/>
  <c r="H37"/>
  <c r="H39" s="1"/>
  <c r="H41" s="1"/>
  <c r="I35"/>
  <c r="I36"/>
  <c r="I37" s="1"/>
  <c r="I39" s="1"/>
  <c r="I41" s="1"/>
  <c r="G44"/>
  <c r="G52"/>
  <c r="G53"/>
  <c r="G45"/>
  <c r="G46" s="1"/>
  <c r="G36"/>
  <c r="G37" s="1"/>
  <c r="G38" s="1"/>
  <c r="F53"/>
  <c r="F52"/>
  <c r="F44"/>
  <c r="F45"/>
  <c r="F46" s="1"/>
  <c r="F36"/>
  <c r="F37" s="1"/>
  <c r="F38" s="1"/>
  <c r="E53"/>
  <c r="E36"/>
  <c r="E39"/>
  <c r="E40"/>
  <c r="E47"/>
  <c r="E48" s="1"/>
  <c r="E55" s="1"/>
  <c r="K55" s="1"/>
  <c r="E44"/>
  <c r="E37"/>
  <c r="G29"/>
  <c r="G28"/>
  <c r="I56" l="1"/>
  <c r="H56"/>
  <c r="E59"/>
  <c r="E41"/>
  <c r="E56" s="1"/>
  <c r="K60"/>
  <c r="K61"/>
  <c r="I51"/>
  <c r="I59"/>
  <c r="H51"/>
  <c r="H59"/>
  <c r="Q53"/>
  <c r="E51"/>
  <c r="I40"/>
  <c r="U53"/>
  <c r="H40"/>
  <c r="T53"/>
  <c r="G47"/>
  <c r="G48" s="1"/>
  <c r="G39"/>
  <c r="G41" s="1"/>
  <c r="F47"/>
  <c r="F48" s="1"/>
  <c r="F39"/>
  <c r="F41" s="1"/>
  <c r="K39"/>
  <c r="E45"/>
  <c r="F56" l="1"/>
  <c r="G56"/>
  <c r="H55"/>
  <c r="N55" s="1"/>
  <c r="I55"/>
  <c r="O55" s="1"/>
  <c r="K62"/>
  <c r="E60" s="1"/>
  <c r="E61"/>
  <c r="N60"/>
  <c r="N61"/>
  <c r="O60"/>
  <c r="O61"/>
  <c r="F51"/>
  <c r="F59"/>
  <c r="G51"/>
  <c r="G59"/>
  <c r="F40"/>
  <c r="R53"/>
  <c r="G40"/>
  <c r="S53"/>
  <c r="E63" l="1"/>
  <c r="E64"/>
  <c r="G55"/>
  <c r="M55" s="1"/>
  <c r="F55"/>
  <c r="L55" s="1"/>
  <c r="O62"/>
  <c r="I60" s="1"/>
  <c r="I61"/>
  <c r="N62"/>
  <c r="H60" s="1"/>
  <c r="H61"/>
  <c r="M60"/>
  <c r="M61"/>
  <c r="L60"/>
  <c r="L61"/>
  <c r="H63" l="1"/>
  <c r="H64"/>
  <c r="I63"/>
  <c r="I64"/>
  <c r="L62"/>
  <c r="F60" s="1"/>
  <c r="F61"/>
  <c r="M62"/>
  <c r="G60" s="1"/>
  <c r="G61"/>
  <c r="G63" l="1"/>
  <c r="G64"/>
  <c r="F63"/>
  <c r="F64"/>
</calcChain>
</file>

<file path=xl/sharedStrings.xml><?xml version="1.0" encoding="utf-8"?>
<sst xmlns="http://schemas.openxmlformats.org/spreadsheetml/2006/main" count="170" uniqueCount="113">
  <si>
    <t>delta</t>
  </si>
  <si>
    <t>%</t>
  </si>
  <si>
    <t>with 25%</t>
  </si>
  <si>
    <t>delta with 25%</t>
  </si>
  <si>
    <t>2013 tax only excluding social charges</t>
  </si>
  <si>
    <t>taxe &gt;50K</t>
  </si>
  <si>
    <t>tax</t>
  </si>
  <si>
    <t>ad tax&gt;50K</t>
  </si>
  <si>
    <t>reb 25%</t>
  </si>
  <si>
    <t>r 25% incl ad&gt;50K</t>
  </si>
  <si>
    <t>tax &amp; soc cha</t>
  </si>
  <si>
    <t>incl ad&gt;50k</t>
  </si>
  <si>
    <t>2013/2014</t>
  </si>
  <si>
    <t>dec % point</t>
  </si>
  <si>
    <t>dec %</t>
  </si>
  <si>
    <t>differentiel</t>
  </si>
  <si>
    <t>reb 25%, no reb</t>
  </si>
  <si>
    <t>ad&gt;50k</t>
  </si>
  <si>
    <t>tot tax exc soc ch</t>
  </si>
  <si>
    <t>acq price</t>
  </si>
  <si>
    <t xml:space="preserve">sold price </t>
  </si>
  <si>
    <t>stamp duty</t>
  </si>
  <si>
    <t>refurbishment</t>
  </si>
  <si>
    <t>amounts in euros</t>
  </si>
  <si>
    <t>tax 19%</t>
  </si>
  <si>
    <t>CSG 15.5%</t>
  </si>
  <si>
    <t>tax smoo fact</t>
  </si>
  <si>
    <t>CSG smoo fact</t>
  </si>
  <si>
    <t>tax+CSG</t>
  </si>
  <si>
    <t>ad tax</t>
  </si>
  <si>
    <t>tax+ad tax+CSG</t>
  </si>
  <si>
    <t>no 25</t>
  </si>
  <si>
    <t>check</t>
  </si>
  <si>
    <t>year</t>
  </si>
  <si>
    <t>damp fact</t>
  </si>
  <si>
    <t>cum damp fact</t>
  </si>
  <si>
    <t>capital gains amount after cum damp factors</t>
  </si>
  <si>
    <t>amount to pay at 34.5</t>
  </si>
  <si>
    <t>additonal tax</t>
  </si>
  <si>
    <t>total to pay</t>
  </si>
  <si>
    <t>% of capital gain</t>
  </si>
  <si>
    <t>day</t>
  </si>
  <si>
    <t>month</t>
  </si>
  <si>
    <t>between</t>
  </si>
  <si>
    <t>new calculation excluding 25% rebate</t>
  </si>
  <si>
    <t>date when you sell your flat or house</t>
  </si>
  <si>
    <t>new calculation including 25% rebate</t>
  </si>
  <si>
    <t>stamp duty and notaire fees flat ratio</t>
  </si>
  <si>
    <t>adjusted acquisition price</t>
  </si>
  <si>
    <t>% of capital gains</t>
  </si>
  <si>
    <t>% of capital gains (excluding the 15% refurbishment)</t>
  </si>
  <si>
    <t>euros</t>
  </si>
  <si>
    <t>acquisition date of your flat or house</t>
  </si>
  <si>
    <t>acquisition price of your flat or house</t>
  </si>
  <si>
    <t>selling price of your house or flat</t>
  </si>
  <si>
    <t>yes</t>
  </si>
  <si>
    <t>"yes" or "no"</t>
  </si>
  <si>
    <t>amount</t>
  </si>
  <si>
    <t>(enter as  dd/mm/yyyy example: 30/12/2003)</t>
  </si>
  <si>
    <t>invoice</t>
  </si>
  <si>
    <t>Capital gains tax on property has been changing quite often during the past few years, there is no certainty that the new reform will not be updated again in the following years</t>
  </si>
  <si>
    <t>see comments below</t>
  </si>
  <si>
    <t>The improvements that are designed to bring the building equipment or a new level of  comfort and better suited to modern life (creation of a lift, double glazing, creattion of a bathroom ... ). Also building works for extension</t>
  </si>
  <si>
    <t>However, renovation, maintenance and repair can't be deducted from the capital gain, in this case and if you have had the property for more than 5 years, the 15% flat rate applies</t>
  </si>
  <si>
    <t>For new construction on land there are specific rules and the spreadsheet would not apply</t>
  </si>
  <si>
    <t>Main residency is exempted from capital gains tax</t>
  </si>
  <si>
    <t>If you are a non-resident, you can still benefit from a specific exemption for your home in France (Article 150 G II 2 ° of the General Tax Code) if the following conditions are met:</t>
  </si>
  <si>
    <t>net capital gains after all rebates</t>
  </si>
  <si>
    <t>social charges at 15.5%</t>
  </si>
  <si>
    <t>additional tax above 50 000 net capital gains after rebates</t>
  </si>
  <si>
    <t>rebate for number of years of ownership in Euros</t>
  </si>
  <si>
    <t>tot tax</t>
  </si>
  <si>
    <t>previous</t>
  </si>
  <si>
    <t xml:space="preserve">totat </t>
  </si>
  <si>
    <t>tax 25%</t>
  </si>
  <si>
    <t>no 25%</t>
  </si>
  <si>
    <t>gross capital gains (after deducting refurbishment and acquisition costs)</t>
  </si>
  <si>
    <t>additional tax  %</t>
  </si>
  <si>
    <t>additional tax in Euros</t>
  </si>
  <si>
    <t>additional 25% rebate between 1/09/2013 and 31/08/2014 in Euros</t>
  </si>
  <si>
    <t>number of full years of ownership</t>
  </si>
  <si>
    <t>net capital gains for additional tax if 2 sellers</t>
  </si>
  <si>
    <t>additional tax if 2 sellers %</t>
  </si>
  <si>
    <t>additional tax if 2 sellers in Euros</t>
  </si>
  <si>
    <t>Calculation of social contributions at 15.5%</t>
  </si>
  <si>
    <t>selling costs</t>
  </si>
  <si>
    <t>capital gains (selling price- selling costs - adjusted acquisition price)</t>
  </si>
  <si>
    <t>adjusted acquisition price (acquisition price + stamp duty + refurbishment)</t>
  </si>
  <si>
    <t xml:space="preserve">If you acquired your property "off plan" from a property developper before it was completed, and you sell you property within 5 years of the completion date, the selling price is under the VAT regime. The notaire will deduct the VAT that you paid when you acquired your property to the VAT collected when you sell it. The resulting amount will be paid to the state and it should be deducted to the capital gains calculation. </t>
  </si>
  <si>
    <t>For simplification this calculation does not take into account any potential increase or decrease of the property value</t>
  </si>
  <si>
    <t>The 34.5% rate -19% tax and 15.5% social charges- (plus additional tax above 50 000 euros of capital gains)  applies to EEA countries ( European Union (EU) and Norway and Iceland residents)</t>
  </si>
  <si>
    <t>refurbishment flat ratio (if the property was acquired more than 5 years ago, refurbished or not)</t>
  </si>
  <si>
    <t>     1/You have the nationality of a member of the EEA countries or another state if a tax treaty allows it;</t>
  </si>
  <si>
    <t>    2/ You must justify the tax domicile in France for at least two consecutive years at any time prior to the selling of the property</t>
  </si>
  <si>
    <t>    3/ The property sold must be your home in France it must have been freely available since January 1 of the year preceding the sale (so not rented)</t>
  </si>
  <si>
    <t>    4/ You can benefit from this exemption for a single home by the taxpayer.</t>
  </si>
  <si>
    <t xml:space="preserve">     However, the Parliament plans also to grant the exemption (for people abiding to      ) for rented properties from the 1st of January 2014,  but on the other hand the capital gains exempted of tax would be limited at 160 000 Euros (after deducting the rebates and including the 25%rebate). As of the 25th of October 2013, this measure was voted by the "Assemblee Nationale" but still has to be voted by the "Senat"</t>
  </si>
  <si>
    <t>The calculation does not apply for a  land where you can get a planning permission to build a home</t>
  </si>
  <si>
    <t>**The rates are 48.83% -33.33% tax rate and 15.5% social charges- (plus additional tax above 50 000 euros of capital gains...) if the tax payer is residen of a non EEA country, the rate goes up to 75% (plus additional tax...) if the tax payer is resident in a non EEA country listed as "non cooperative" for tax matters</t>
  </si>
  <si>
    <t>tax at 33.33% for non EEA residents</t>
  </si>
  <si>
    <t>tax at 19% for EEA residents (European Union + Norway + Iceland)</t>
  </si>
  <si>
    <t>total taxes and social contributions to pay to the French state (1 seller), for EEA residents</t>
  </si>
  <si>
    <t>total taxes and social contributions to pay to the French state (1 seller), for non EEA residents**</t>
  </si>
  <si>
    <t>total taxes and social contributions to pay to the French state if 2 sellers for EEA resdents</t>
  </si>
  <si>
    <t>rebate for number of years of ownership in % (starts from the 6th year)</t>
  </si>
  <si>
    <t>the calculation takes  your amount if the property was acquired less than 5 years ago, and if it is &gt; 15% acquisition price if the property was acquired more than 5 years ago, otherwise the calculation takes the 15% flat rate if the property was acquired more than 5 years ago (tax rule)</t>
  </si>
  <si>
    <t>Calculation of capital gains tax at 19% or 33.33%</t>
  </si>
  <si>
    <t>refurbishment  (your invoices, read comments below for what you can input*)</t>
  </si>
  <si>
    <t>*Refurbishment works which can be deducted from the capital gains as long as you kept the invoices:</t>
  </si>
  <si>
    <t xml:space="preserve">Euros  the amount is only taken into account if you input "yes" </t>
  </si>
  <si>
    <t>total taxes and social contributions to pay to the French state (2 sellers), for non EEA residents**</t>
  </si>
  <si>
    <t>(estate agents fees if not deducted from selling price, technical certificates fees)</t>
  </si>
  <si>
    <t>amount to pay to the French state for EEA countries = E.U. or Norway or Iceland resident (19% tax + 15.5% social charges + additional tax)**</t>
  </si>
</sst>
</file>

<file path=xl/styles.xml><?xml version="1.0" encoding="utf-8"?>
<styleSheet xmlns="http://schemas.openxmlformats.org/spreadsheetml/2006/main">
  <numFmts count="7">
    <numFmt numFmtId="43" formatCode="_-* #,##0.00_-;\-* #,##0.00_-;_-* &quot;-&quot;??_-;_-@_-"/>
    <numFmt numFmtId="164" formatCode="0.0%"/>
    <numFmt numFmtId="165" formatCode="0.0"/>
    <numFmt numFmtId="166" formatCode="_-* #,##0_-;\-* #,##0_-;_-* &quot;-&quot;??_-;_-@_-"/>
    <numFmt numFmtId="167" formatCode="0.0000%"/>
    <numFmt numFmtId="168" formatCode="dd/mm/yyyy;@"/>
    <numFmt numFmtId="169" formatCode="#,##0.000"/>
  </numFmts>
  <fonts count="18">
    <font>
      <sz val="11"/>
      <color theme="1"/>
      <name val="Calibri"/>
      <family val="2"/>
      <scheme val="minor"/>
    </font>
    <font>
      <sz val="11"/>
      <color theme="1"/>
      <name val="Calibri"/>
      <family val="2"/>
      <scheme val="minor"/>
    </font>
    <font>
      <sz val="11"/>
      <color rgb="FFFF0000"/>
      <name val="Calibri"/>
      <family val="2"/>
      <scheme val="minor"/>
    </font>
    <font>
      <sz val="11"/>
      <name val="Calibri"/>
      <family val="2"/>
      <scheme val="minor"/>
    </font>
    <font>
      <sz val="11"/>
      <color theme="3" tint="-0.249977111117893"/>
      <name val="Calibri"/>
      <family val="2"/>
      <scheme val="minor"/>
    </font>
    <font>
      <sz val="11"/>
      <color theme="3" tint="0.39997558519241921"/>
      <name val="Calibri"/>
      <family val="2"/>
      <scheme val="minor"/>
    </font>
    <font>
      <sz val="11"/>
      <color theme="6" tint="-0.249977111117893"/>
      <name val="Calibri"/>
      <family val="2"/>
      <scheme val="minor"/>
    </font>
    <font>
      <b/>
      <sz val="11"/>
      <color theme="1"/>
      <name val="Calibri"/>
      <family val="2"/>
      <scheme val="minor"/>
    </font>
    <font>
      <b/>
      <sz val="11"/>
      <color theme="3"/>
      <name val="Calibri"/>
      <family val="2"/>
      <scheme val="minor"/>
    </font>
    <font>
      <b/>
      <sz val="11"/>
      <color theme="3" tint="0.39997558519241921"/>
      <name val="Calibri"/>
      <family val="2"/>
      <scheme val="minor"/>
    </font>
    <font>
      <b/>
      <sz val="11"/>
      <color theme="3" tint="-0.249977111117893"/>
      <name val="Calibri"/>
      <family val="2"/>
      <scheme val="minor"/>
    </font>
    <font>
      <b/>
      <sz val="11"/>
      <name val="Calibri"/>
      <family val="2"/>
      <scheme val="minor"/>
    </font>
    <font>
      <b/>
      <sz val="11"/>
      <color rgb="FFFF0000"/>
      <name val="Calibri"/>
      <family val="2"/>
      <scheme val="minor"/>
    </font>
    <font>
      <sz val="9"/>
      <color theme="1"/>
      <name val="Calibri"/>
      <family val="2"/>
      <scheme val="minor"/>
    </font>
    <font>
      <i/>
      <sz val="9"/>
      <color theme="1"/>
      <name val="Calibri"/>
      <family val="2"/>
      <scheme val="minor"/>
    </font>
    <font>
      <b/>
      <sz val="9"/>
      <color theme="1"/>
      <name val="Calibri"/>
      <family val="2"/>
      <scheme val="minor"/>
    </font>
    <font>
      <sz val="9"/>
      <name val="Calibri"/>
      <family val="2"/>
      <scheme val="minor"/>
    </font>
    <font>
      <sz val="9"/>
      <color rgb="FFFF0000"/>
      <name val="Calibri"/>
      <family val="2"/>
      <scheme val="minor"/>
    </font>
  </fonts>
  <fills count="12">
    <fill>
      <patternFill patternType="none"/>
    </fill>
    <fill>
      <patternFill patternType="gray125"/>
    </fill>
    <fill>
      <patternFill patternType="solid">
        <fgColor rgb="FF00B0F0"/>
        <bgColor indexed="64"/>
      </patternFill>
    </fill>
    <fill>
      <patternFill patternType="solid">
        <fgColor rgb="FF92D050"/>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9" tint="0.39997558519241921"/>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204">
    <xf numFmtId="0" fontId="0" fillId="0" borderId="0" xfId="0"/>
    <xf numFmtId="9" fontId="0" fillId="0" borderId="0" xfId="0" applyNumberFormat="1"/>
    <xf numFmtId="10" fontId="0" fillId="0" borderId="0" xfId="0" applyNumberFormat="1"/>
    <xf numFmtId="1" fontId="0" fillId="0" borderId="0" xfId="0" applyNumberFormat="1"/>
    <xf numFmtId="9" fontId="0" fillId="0" borderId="0" xfId="1" applyFont="1"/>
    <xf numFmtId="0" fontId="2" fillId="0" borderId="0" xfId="0" applyFont="1"/>
    <xf numFmtId="0" fontId="3" fillId="0" borderId="0" xfId="0" applyFont="1"/>
    <xf numFmtId="10" fontId="3" fillId="0" borderId="0" xfId="0" applyNumberFormat="1" applyFont="1"/>
    <xf numFmtId="9" fontId="3" fillId="0" borderId="0" xfId="0" applyNumberFormat="1" applyFont="1"/>
    <xf numFmtId="0" fontId="4" fillId="0" borderId="0" xfId="0" applyFont="1"/>
    <xf numFmtId="1" fontId="4" fillId="0" borderId="0" xfId="0" applyNumberFormat="1" applyFont="1"/>
    <xf numFmtId="164" fontId="4" fillId="0" borderId="0" xfId="1" applyNumberFormat="1" applyFont="1"/>
    <xf numFmtId="164" fontId="4" fillId="0" borderId="0" xfId="0" applyNumberFormat="1" applyFont="1"/>
    <xf numFmtId="0" fontId="0" fillId="2" borderId="0" xfId="0" applyFill="1"/>
    <xf numFmtId="0" fontId="5" fillId="0" borderId="0" xfId="0" applyFont="1"/>
    <xf numFmtId="1" fontId="5" fillId="0" borderId="0" xfId="0" applyNumberFormat="1" applyFont="1"/>
    <xf numFmtId="164" fontId="5" fillId="0" borderId="0" xfId="1" applyNumberFormat="1" applyFont="1"/>
    <xf numFmtId="0" fontId="6" fillId="0" borderId="0" xfId="0" applyFont="1"/>
    <xf numFmtId="165" fontId="0" fillId="0" borderId="0" xfId="0" applyNumberFormat="1"/>
    <xf numFmtId="165" fontId="5" fillId="0" borderId="0" xfId="0" applyNumberFormat="1" applyFont="1"/>
    <xf numFmtId="164" fontId="0" fillId="0" borderId="0" xfId="1" applyNumberFormat="1" applyFont="1"/>
    <xf numFmtId="3" fontId="4" fillId="0" borderId="0" xfId="0" applyNumberFormat="1" applyFont="1"/>
    <xf numFmtId="166" fontId="0" fillId="0" borderId="0" xfId="2" applyNumberFormat="1" applyFont="1"/>
    <xf numFmtId="3" fontId="0" fillId="0" borderId="0" xfId="0" applyNumberFormat="1"/>
    <xf numFmtId="3" fontId="6" fillId="0" borderId="0" xfId="0" applyNumberFormat="1" applyFont="1"/>
    <xf numFmtId="164" fontId="0" fillId="0" borderId="0" xfId="0" applyNumberFormat="1"/>
    <xf numFmtId="9" fontId="0" fillId="0" borderId="0" xfId="1" applyNumberFormat="1" applyFont="1"/>
    <xf numFmtId="0" fontId="0" fillId="0" borderId="0" xfId="0" applyFill="1"/>
    <xf numFmtId="9" fontId="0" fillId="0" borderId="0" xfId="0" applyNumberFormat="1" applyFill="1"/>
    <xf numFmtId="3" fontId="4" fillId="0" borderId="0" xfId="0" applyNumberFormat="1" applyFont="1" applyFill="1"/>
    <xf numFmtId="10" fontId="3" fillId="0" borderId="0" xfId="0" applyNumberFormat="1" applyFont="1" applyFill="1"/>
    <xf numFmtId="166" fontId="0" fillId="0" borderId="0" xfId="2" applyNumberFormat="1" applyFont="1" applyFill="1"/>
    <xf numFmtId="9" fontId="0" fillId="0" borderId="0" xfId="1" applyFont="1" applyFill="1"/>
    <xf numFmtId="1" fontId="0" fillId="0" borderId="0" xfId="1" applyNumberFormat="1" applyFont="1" applyFill="1"/>
    <xf numFmtId="164" fontId="0" fillId="0" borderId="0" xfId="1" applyNumberFormat="1" applyFont="1" applyFill="1"/>
    <xf numFmtId="1" fontId="0" fillId="0" borderId="0" xfId="0" applyNumberFormat="1" applyFill="1"/>
    <xf numFmtId="164" fontId="0" fillId="0" borderId="0" xfId="0" applyNumberFormat="1" applyFill="1"/>
    <xf numFmtId="1" fontId="4" fillId="0" borderId="0" xfId="0" applyNumberFormat="1" applyFont="1" applyFill="1"/>
    <xf numFmtId="164" fontId="4" fillId="0" borderId="0" xfId="0" applyNumberFormat="1" applyFont="1" applyFill="1"/>
    <xf numFmtId="9" fontId="0" fillId="0" borderId="0" xfId="1" applyNumberFormat="1" applyFont="1" applyFill="1"/>
    <xf numFmtId="3" fontId="0" fillId="0" borderId="0" xfId="0" applyNumberFormat="1" applyFill="1"/>
    <xf numFmtId="0" fontId="0" fillId="5" borderId="0" xfId="0" applyFill="1"/>
    <xf numFmtId="9" fontId="0" fillId="5" borderId="0" xfId="0" applyNumberFormat="1" applyFill="1"/>
    <xf numFmtId="3" fontId="4" fillId="5" borderId="0" xfId="0" applyNumberFormat="1" applyFont="1" applyFill="1"/>
    <xf numFmtId="10" fontId="3" fillId="5" borderId="0" xfId="0" applyNumberFormat="1" applyFont="1" applyFill="1"/>
    <xf numFmtId="166" fontId="0" fillId="5" borderId="0" xfId="2" applyNumberFormat="1" applyFont="1" applyFill="1"/>
    <xf numFmtId="9" fontId="0" fillId="5" borderId="0" xfId="1" applyFont="1" applyFill="1"/>
    <xf numFmtId="164" fontId="0" fillId="5" borderId="0" xfId="1" applyNumberFormat="1" applyFont="1" applyFill="1"/>
    <xf numFmtId="1" fontId="0" fillId="5" borderId="0" xfId="0" applyNumberFormat="1" applyFill="1"/>
    <xf numFmtId="164" fontId="0" fillId="5" borderId="0" xfId="0" applyNumberFormat="1" applyFill="1"/>
    <xf numFmtId="1" fontId="4" fillId="5" borderId="0" xfId="0" applyNumberFormat="1" applyFont="1" applyFill="1"/>
    <xf numFmtId="164" fontId="4" fillId="5" borderId="0" xfId="0" applyNumberFormat="1" applyFont="1" applyFill="1"/>
    <xf numFmtId="9" fontId="0" fillId="5" borderId="0" xfId="1" applyNumberFormat="1" applyFont="1" applyFill="1"/>
    <xf numFmtId="3" fontId="0" fillId="5" borderId="0" xfId="0" applyNumberFormat="1" applyFill="1"/>
    <xf numFmtId="167" fontId="3" fillId="0" borderId="0" xfId="1" applyNumberFormat="1" applyFont="1"/>
    <xf numFmtId="1" fontId="2" fillId="0" borderId="0" xfId="0" applyNumberFormat="1" applyFont="1" applyFill="1"/>
    <xf numFmtId="3" fontId="4" fillId="7" borderId="0" xfId="0" applyNumberFormat="1" applyFont="1" applyFill="1"/>
    <xf numFmtId="9" fontId="4" fillId="0" borderId="0" xfId="0" applyNumberFormat="1" applyFont="1"/>
    <xf numFmtId="0" fontId="9" fillId="0" borderId="0" xfId="0" applyFont="1"/>
    <xf numFmtId="0" fontId="10" fillId="0" borderId="0" xfId="0" applyFont="1"/>
    <xf numFmtId="3" fontId="3" fillId="0" borderId="0" xfId="0" applyNumberFormat="1" applyFont="1"/>
    <xf numFmtId="3" fontId="5" fillId="0" borderId="0" xfId="0" applyNumberFormat="1" applyFont="1"/>
    <xf numFmtId="3" fontId="3" fillId="0" borderId="0" xfId="0" applyNumberFormat="1" applyFont="1" applyFill="1"/>
    <xf numFmtId="3" fontId="3" fillId="5" borderId="0" xfId="0" applyNumberFormat="1" applyFont="1" applyFill="1"/>
    <xf numFmtId="0" fontId="11" fillId="0" borderId="0" xfId="0" applyFont="1"/>
    <xf numFmtId="0" fontId="2" fillId="0" borderId="0" xfId="0" applyFont="1" applyFill="1"/>
    <xf numFmtId="9" fontId="2" fillId="0" borderId="0" xfId="0" applyNumberFormat="1" applyFont="1" applyFill="1"/>
    <xf numFmtId="164" fontId="2" fillId="0" borderId="0" xfId="0" applyNumberFormat="1" applyFont="1" applyFill="1"/>
    <xf numFmtId="1" fontId="12" fillId="0" borderId="0" xfId="0" applyNumberFormat="1" applyFont="1" applyFill="1"/>
    <xf numFmtId="0" fontId="0" fillId="0" borderId="0" xfId="0" applyAlignment="1">
      <alignment wrapText="1"/>
    </xf>
    <xf numFmtId="0" fontId="11" fillId="0" borderId="0" xfId="0" applyFont="1" applyAlignment="1">
      <alignment wrapText="1"/>
    </xf>
    <xf numFmtId="0" fontId="10" fillId="0" borderId="0" xfId="0" applyFont="1" applyAlignment="1">
      <alignment wrapText="1"/>
    </xf>
    <xf numFmtId="0" fontId="3" fillId="0" borderId="0" xfId="0" applyFont="1" applyAlignment="1">
      <alignment wrapText="1"/>
    </xf>
    <xf numFmtId="3" fontId="3" fillId="0" borderId="0" xfId="0" applyNumberFormat="1" applyFont="1" applyAlignment="1">
      <alignment wrapText="1"/>
    </xf>
    <xf numFmtId="0" fontId="8" fillId="0" borderId="0" xfId="0" applyFont="1" applyAlignment="1">
      <alignment wrapText="1"/>
    </xf>
    <xf numFmtId="165" fontId="0" fillId="0" borderId="0" xfId="0" applyNumberFormat="1" applyAlignment="1">
      <alignment wrapText="1"/>
    </xf>
    <xf numFmtId="0" fontId="2" fillId="0" borderId="0" xfId="0" applyFont="1" applyFill="1" applyAlignment="1">
      <alignment wrapText="1"/>
    </xf>
    <xf numFmtId="164" fontId="4" fillId="0" borderId="0" xfId="1" applyNumberFormat="1" applyFont="1" applyAlignment="1">
      <alignment wrapText="1"/>
    </xf>
    <xf numFmtId="10" fontId="0" fillId="0" borderId="0" xfId="0" applyNumberFormat="1" applyAlignment="1">
      <alignment wrapText="1"/>
    </xf>
    <xf numFmtId="3" fontId="0" fillId="0" borderId="0" xfId="0" applyNumberFormat="1" applyAlignment="1">
      <alignment wrapText="1"/>
    </xf>
    <xf numFmtId="0" fontId="4" fillId="0" borderId="0" xfId="0" applyFont="1" applyAlignment="1">
      <alignment wrapText="1"/>
    </xf>
    <xf numFmtId="164" fontId="4" fillId="0" borderId="0" xfId="0" applyNumberFormat="1" applyFont="1" applyAlignment="1">
      <alignment wrapText="1"/>
    </xf>
    <xf numFmtId="9" fontId="0" fillId="0" borderId="0" xfId="0" applyNumberFormat="1" applyAlignment="1">
      <alignment wrapText="1"/>
    </xf>
    <xf numFmtId="166" fontId="4" fillId="7" borderId="0" xfId="2" applyNumberFormat="1" applyFont="1" applyFill="1"/>
    <xf numFmtId="166" fontId="4" fillId="0" borderId="0" xfId="2" applyNumberFormat="1" applyFont="1"/>
    <xf numFmtId="166" fontId="4" fillId="0" borderId="0" xfId="2" applyNumberFormat="1" applyFont="1" applyFill="1"/>
    <xf numFmtId="166" fontId="4" fillId="5" borderId="0" xfId="2" applyNumberFormat="1" applyFont="1" applyFill="1"/>
    <xf numFmtId="164" fontId="2" fillId="0" borderId="0" xfId="1" applyNumberFormat="1" applyFont="1" applyFill="1"/>
    <xf numFmtId="0" fontId="2" fillId="6" borderId="0" xfId="0" applyFont="1" applyFill="1"/>
    <xf numFmtId="0" fontId="0" fillId="6" borderId="0" xfId="0" applyFill="1"/>
    <xf numFmtId="0" fontId="5" fillId="6" borderId="0" xfId="0" applyFont="1" applyFill="1"/>
    <xf numFmtId="0" fontId="11" fillId="6" borderId="0" xfId="0" applyFont="1" applyFill="1"/>
    <xf numFmtId="0" fontId="11" fillId="6" borderId="0" xfId="0" applyFont="1" applyFill="1" applyAlignment="1">
      <alignment wrapText="1"/>
    </xf>
    <xf numFmtId="9" fontId="2" fillId="6" borderId="0" xfId="0" applyNumberFormat="1" applyFont="1" applyFill="1"/>
    <xf numFmtId="9" fontId="0" fillId="6" borderId="0" xfId="0" applyNumberFormat="1" applyFill="1"/>
    <xf numFmtId="166" fontId="0" fillId="6" borderId="0" xfId="2" applyNumberFormat="1" applyFont="1" applyFill="1"/>
    <xf numFmtId="164" fontId="0" fillId="6" borderId="0" xfId="1" applyNumberFormat="1" applyFont="1" applyFill="1"/>
    <xf numFmtId="164" fontId="3" fillId="6" borderId="0" xfId="1" applyNumberFormat="1" applyFont="1" applyFill="1"/>
    <xf numFmtId="0" fontId="3" fillId="6" borderId="0" xfId="0" applyFont="1" applyFill="1"/>
    <xf numFmtId="3" fontId="3" fillId="6" borderId="0" xfId="1" applyNumberFormat="1" applyFont="1" applyFill="1"/>
    <xf numFmtId="0" fontId="8" fillId="6" borderId="0" xfId="0" applyFont="1" applyFill="1" applyAlignment="1">
      <alignment wrapText="1"/>
    </xf>
    <xf numFmtId="0" fontId="7" fillId="0" borderId="0" xfId="0" applyFont="1" applyAlignment="1">
      <alignment wrapText="1"/>
    </xf>
    <xf numFmtId="3" fontId="3" fillId="6" borderId="0" xfId="0" applyNumberFormat="1" applyFont="1" applyFill="1"/>
    <xf numFmtId="3" fontId="3" fillId="6" borderId="0" xfId="0" applyNumberFormat="1" applyFont="1" applyFill="1" applyAlignment="1">
      <alignment wrapText="1"/>
    </xf>
    <xf numFmtId="164" fontId="0" fillId="10" borderId="0" xfId="1" applyNumberFormat="1" applyFont="1" applyFill="1"/>
    <xf numFmtId="166" fontId="0" fillId="4" borderId="0" xfId="2" applyNumberFormat="1" applyFont="1" applyFill="1"/>
    <xf numFmtId="164" fontId="3" fillId="10" borderId="0" xfId="1" applyNumberFormat="1" applyFont="1" applyFill="1"/>
    <xf numFmtId="3" fontId="3" fillId="9" borderId="0" xfId="0" applyNumberFormat="1" applyFont="1" applyFill="1"/>
    <xf numFmtId="0" fontId="0" fillId="9" borderId="0" xfId="0" applyFill="1"/>
    <xf numFmtId="169" fontId="3" fillId="0" borderId="0" xfId="0" applyNumberFormat="1" applyFont="1"/>
    <xf numFmtId="166" fontId="0" fillId="5" borderId="0" xfId="0" applyNumberFormat="1" applyFill="1"/>
    <xf numFmtId="166" fontId="0" fillId="0" borderId="0" xfId="0" applyNumberFormat="1"/>
    <xf numFmtId="166" fontId="2" fillId="0" borderId="0" xfId="0" applyNumberFormat="1" applyFont="1"/>
    <xf numFmtId="0" fontId="13" fillId="0" borderId="0" xfId="0" applyFont="1" applyAlignment="1">
      <alignment vertical="center"/>
    </xf>
    <xf numFmtId="0" fontId="13" fillId="0" borderId="0" xfId="0" applyFont="1"/>
    <xf numFmtId="0" fontId="13" fillId="0" borderId="11" xfId="0" applyFont="1" applyBorder="1"/>
    <xf numFmtId="14" fontId="13" fillId="0" borderId="12" xfId="0" applyNumberFormat="1" applyFont="1" applyBorder="1"/>
    <xf numFmtId="0" fontId="13" fillId="0" borderId="12" xfId="0" applyFont="1" applyBorder="1"/>
    <xf numFmtId="0" fontId="13" fillId="0" borderId="13" xfId="0" applyFont="1" applyBorder="1"/>
    <xf numFmtId="0" fontId="13" fillId="0" borderId="5" xfId="0" applyFont="1" applyBorder="1"/>
    <xf numFmtId="14" fontId="13" fillId="11" borderId="0" xfId="0" applyNumberFormat="1" applyFont="1" applyFill="1" applyBorder="1"/>
    <xf numFmtId="0" fontId="13" fillId="0" borderId="0" xfId="0" applyFont="1" applyBorder="1"/>
    <xf numFmtId="0" fontId="13" fillId="0" borderId="6" xfId="0" applyFont="1" applyBorder="1"/>
    <xf numFmtId="0" fontId="13" fillId="0" borderId="0" xfId="0" applyFont="1" applyAlignment="1">
      <alignment wrapText="1"/>
    </xf>
    <xf numFmtId="166" fontId="13" fillId="8" borderId="4" xfId="2" applyNumberFormat="1" applyFont="1" applyFill="1" applyBorder="1" applyProtection="1">
      <protection locked="0"/>
    </xf>
    <xf numFmtId="14" fontId="13" fillId="8" borderId="4" xfId="0" applyNumberFormat="1" applyFont="1" applyFill="1" applyBorder="1" applyProtection="1">
      <protection locked="0"/>
    </xf>
    <xf numFmtId="2" fontId="13" fillId="0" borderId="0" xfId="0" applyNumberFormat="1" applyFont="1"/>
    <xf numFmtId="14" fontId="13" fillId="0" borderId="0" xfId="0" applyNumberFormat="1" applyFont="1" applyBorder="1"/>
    <xf numFmtId="14" fontId="13" fillId="0" borderId="0" xfId="0" applyNumberFormat="1" applyFont="1"/>
    <xf numFmtId="164" fontId="13" fillId="0" borderId="0" xfId="0" applyNumberFormat="1" applyFont="1"/>
    <xf numFmtId="3" fontId="13" fillId="0" borderId="0" xfId="0" applyNumberFormat="1" applyFont="1"/>
    <xf numFmtId="0" fontId="13" fillId="0" borderId="7" xfId="0" applyFont="1" applyBorder="1"/>
    <xf numFmtId="0" fontId="13" fillId="0" borderId="14" xfId="0" applyFont="1" applyBorder="1"/>
    <xf numFmtId="2" fontId="13" fillId="0" borderId="14" xfId="0" applyNumberFormat="1" applyFont="1" applyBorder="1"/>
    <xf numFmtId="0" fontId="13" fillId="0" borderId="8" xfId="0" applyFont="1" applyBorder="1"/>
    <xf numFmtId="3" fontId="13" fillId="8" borderId="4" xfId="0" applyNumberFormat="1" applyFont="1" applyFill="1" applyBorder="1" applyProtection="1">
      <protection locked="0"/>
    </xf>
    <xf numFmtId="2" fontId="13" fillId="0" borderId="0" xfId="0" applyNumberFormat="1" applyFont="1" applyBorder="1"/>
    <xf numFmtId="0" fontId="14" fillId="0" borderId="0" xfId="0" applyFont="1" applyAlignment="1">
      <alignment wrapText="1"/>
    </xf>
    <xf numFmtId="3" fontId="13" fillId="0" borderId="0" xfId="0" applyNumberFormat="1" applyFont="1" applyFill="1" applyBorder="1" applyProtection="1">
      <protection locked="0"/>
    </xf>
    <xf numFmtId="164" fontId="13" fillId="0" borderId="0" xfId="0" applyNumberFormat="1" applyFont="1" applyAlignment="1">
      <alignment wrapText="1"/>
    </xf>
    <xf numFmtId="3" fontId="13" fillId="0" borderId="0" xfId="0" applyNumberFormat="1" applyFont="1" applyAlignment="1">
      <alignment horizontal="center"/>
    </xf>
    <xf numFmtId="0" fontId="15" fillId="0" borderId="0" xfId="0" applyFont="1"/>
    <xf numFmtId="0" fontId="13" fillId="8" borderId="4" xfId="0" applyFont="1" applyFill="1" applyBorder="1" applyAlignment="1" applyProtection="1">
      <alignment horizontal="center" vertical="center"/>
      <protection locked="0"/>
    </xf>
    <xf numFmtId="0" fontId="13" fillId="0" borderId="0" xfId="0" applyFont="1" applyFill="1"/>
    <xf numFmtId="0" fontId="13" fillId="0" borderId="0" xfId="0" applyFont="1" applyFill="1" applyBorder="1" applyAlignment="1">
      <alignment horizontal="center" vertical="center"/>
    </xf>
    <xf numFmtId="3" fontId="13" fillId="0" borderId="0" xfId="0" applyNumberFormat="1" applyFont="1" applyFill="1" applyBorder="1"/>
    <xf numFmtId="9" fontId="13" fillId="0" borderId="0" xfId="0" applyNumberFormat="1" applyFont="1"/>
    <xf numFmtId="10" fontId="13" fillId="0" borderId="0" xfId="0" applyNumberFormat="1" applyFont="1"/>
    <xf numFmtId="0" fontId="14" fillId="0" borderId="4" xfId="0" applyFont="1" applyBorder="1" applyAlignment="1">
      <alignment horizontal="center" vertical="center" wrapText="1"/>
    </xf>
    <xf numFmtId="14" fontId="13" fillId="0" borderId="4" xfId="0" applyNumberFormat="1" applyFont="1" applyBorder="1" applyAlignment="1">
      <alignment horizontal="center" vertical="center" wrapText="1"/>
    </xf>
    <xf numFmtId="0" fontId="13" fillId="0" borderId="4" xfId="0" applyFont="1" applyBorder="1" applyAlignment="1">
      <alignment horizontal="center" vertical="center" wrapText="1"/>
    </xf>
    <xf numFmtId="0" fontId="13" fillId="0" borderId="1" xfId="0" applyFont="1" applyBorder="1" applyAlignment="1">
      <alignment horizontal="center" vertical="center"/>
    </xf>
    <xf numFmtId="168" fontId="13" fillId="0" borderId="2" xfId="0" applyNumberFormat="1" applyFont="1" applyBorder="1" applyAlignment="1">
      <alignment horizontal="center" vertical="center"/>
    </xf>
    <xf numFmtId="168" fontId="13" fillId="0" borderId="3" xfId="0" applyNumberFormat="1" applyFont="1" applyBorder="1" applyAlignment="1">
      <alignment horizontal="center" vertical="center"/>
    </xf>
    <xf numFmtId="0" fontId="15" fillId="0" borderId="1" xfId="0" applyFont="1" applyBorder="1" applyAlignment="1">
      <alignment wrapText="1"/>
    </xf>
    <xf numFmtId="3" fontId="13" fillId="0" borderId="1" xfId="0" applyNumberFormat="1" applyFont="1" applyBorder="1" applyAlignment="1">
      <alignment horizontal="center" vertical="center"/>
    </xf>
    <xf numFmtId="0" fontId="13" fillId="0" borderId="2" xfId="0" applyFont="1" applyBorder="1" applyAlignment="1">
      <alignment wrapText="1"/>
    </xf>
    <xf numFmtId="164" fontId="13" fillId="0" borderId="2" xfId="0" applyNumberFormat="1" applyFont="1" applyBorder="1" applyAlignment="1">
      <alignment horizontal="center" vertical="center"/>
    </xf>
    <xf numFmtId="0" fontId="13" fillId="0" borderId="3" xfId="0" applyFont="1" applyBorder="1" applyAlignment="1">
      <alignment wrapText="1"/>
    </xf>
    <xf numFmtId="164" fontId="13" fillId="0" borderId="3" xfId="0" applyNumberFormat="1" applyFont="1" applyBorder="1" applyAlignment="1">
      <alignment horizontal="center" vertical="center"/>
    </xf>
    <xf numFmtId="0" fontId="13" fillId="0" borderId="0" xfId="0" applyFont="1" applyBorder="1" applyAlignment="1">
      <alignment wrapText="1"/>
    </xf>
    <xf numFmtId="164" fontId="13" fillId="0" borderId="0" xfId="0" applyNumberFormat="1" applyFont="1" applyBorder="1" applyAlignment="1">
      <alignment horizontal="center" vertical="center"/>
    </xf>
    <xf numFmtId="0" fontId="13" fillId="0" borderId="0" xfId="0" applyFont="1" applyFill="1" applyBorder="1" applyAlignment="1">
      <alignment wrapText="1"/>
    </xf>
    <xf numFmtId="3" fontId="13" fillId="0" borderId="0" xfId="0" applyNumberFormat="1" applyFont="1" applyBorder="1" applyAlignment="1">
      <alignment horizontal="right" vertical="center"/>
    </xf>
    <xf numFmtId="0" fontId="15" fillId="0" borderId="0" xfId="0" applyFont="1" applyBorder="1" applyAlignment="1">
      <alignment wrapText="1"/>
    </xf>
    <xf numFmtId="3" fontId="16" fillId="0" borderId="0" xfId="0" applyNumberFormat="1" applyFont="1" applyFill="1" applyBorder="1" applyAlignment="1">
      <alignment horizontal="right" vertical="center"/>
    </xf>
    <xf numFmtId="3" fontId="13" fillId="0" borderId="0" xfId="0" applyNumberFormat="1" applyFont="1" applyFill="1" applyBorder="1" applyAlignment="1">
      <alignment horizontal="right" vertical="center"/>
    </xf>
    <xf numFmtId="164" fontId="13" fillId="0" borderId="0" xfId="0" applyNumberFormat="1" applyFont="1" applyBorder="1" applyAlignment="1">
      <alignment horizontal="right" vertical="center"/>
    </xf>
    <xf numFmtId="164" fontId="13" fillId="0" borderId="0" xfId="1" applyNumberFormat="1" applyFont="1" applyBorder="1" applyAlignment="1">
      <alignment horizontal="right" vertical="center"/>
    </xf>
    <xf numFmtId="166" fontId="13" fillId="0" borderId="0" xfId="2" applyNumberFormat="1" applyFont="1" applyBorder="1" applyAlignment="1">
      <alignment horizontal="right" vertical="center"/>
    </xf>
    <xf numFmtId="166" fontId="13" fillId="0" borderId="0" xfId="2" applyNumberFormat="1" applyFont="1" applyFill="1" applyBorder="1" applyAlignment="1">
      <alignment horizontal="right" vertical="center"/>
    </xf>
    <xf numFmtId="0" fontId="15" fillId="0" borderId="0" xfId="0" applyFont="1" applyFill="1" applyBorder="1" applyAlignment="1">
      <alignment wrapText="1"/>
    </xf>
    <xf numFmtId="0" fontId="13" fillId="0" borderId="0" xfId="0" applyFont="1" applyAlignment="1">
      <alignment horizontal="right"/>
    </xf>
    <xf numFmtId="166" fontId="13" fillId="0" borderId="0" xfId="0" applyNumberFormat="1" applyFont="1" applyAlignment="1">
      <alignment horizontal="right"/>
    </xf>
    <xf numFmtId="166" fontId="13" fillId="0" borderId="0" xfId="0" applyNumberFormat="1" applyFont="1" applyFill="1" applyAlignment="1">
      <alignment horizontal="right"/>
    </xf>
    <xf numFmtId="164" fontId="13" fillId="0" borderId="0" xfId="1" applyNumberFormat="1" applyFont="1" applyFill="1" applyBorder="1" applyAlignment="1">
      <alignment horizontal="right" vertical="center"/>
    </xf>
    <xf numFmtId="164" fontId="13" fillId="0" borderId="0" xfId="1" applyNumberFormat="1" applyFont="1" applyBorder="1" applyAlignment="1">
      <alignment horizontal="center" vertical="center"/>
    </xf>
    <xf numFmtId="3" fontId="13" fillId="0" borderId="0" xfId="0" applyNumberFormat="1" applyFont="1" applyBorder="1" applyAlignment="1">
      <alignment horizontal="center" vertical="center"/>
    </xf>
    <xf numFmtId="166" fontId="13" fillId="0" borderId="0" xfId="2" applyNumberFormat="1" applyFont="1" applyBorder="1" applyAlignment="1">
      <alignment horizontal="center" vertical="center"/>
    </xf>
    <xf numFmtId="0" fontId="15" fillId="0" borderId="9" xfId="0" applyFont="1" applyFill="1" applyBorder="1" applyAlignment="1">
      <alignment vertical="center" wrapText="1"/>
    </xf>
    <xf numFmtId="164" fontId="15" fillId="0" borderId="15" xfId="0" applyNumberFormat="1" applyFont="1" applyBorder="1" applyAlignment="1">
      <alignment horizontal="center" vertical="center"/>
    </xf>
    <xf numFmtId="3" fontId="15" fillId="0" borderId="15" xfId="0" applyNumberFormat="1" applyFont="1" applyBorder="1" applyAlignment="1">
      <alignment horizontal="right" vertical="center"/>
    </xf>
    <xf numFmtId="3" fontId="15" fillId="0" borderId="10" xfId="0" applyNumberFormat="1" applyFont="1" applyBorder="1" applyAlignment="1">
      <alignment horizontal="right" vertical="center"/>
    </xf>
    <xf numFmtId="164" fontId="15" fillId="0" borderId="0" xfId="0" applyNumberFormat="1" applyFont="1" applyBorder="1" applyAlignment="1">
      <alignment horizontal="center" vertical="center"/>
    </xf>
    <xf numFmtId="3" fontId="15" fillId="0" borderId="0" xfId="0" applyNumberFormat="1" applyFont="1" applyBorder="1" applyAlignment="1">
      <alignment horizontal="right"/>
    </xf>
    <xf numFmtId="3" fontId="15" fillId="0" borderId="0" xfId="0" applyNumberFormat="1" applyFont="1" applyBorder="1" applyAlignment="1">
      <alignment horizontal="right" vertical="center"/>
    </xf>
    <xf numFmtId="165" fontId="13" fillId="0" borderId="0" xfId="0" applyNumberFormat="1" applyFont="1" applyAlignment="1">
      <alignment wrapText="1"/>
    </xf>
    <xf numFmtId="0" fontId="17" fillId="0" borderId="0" xfId="0" applyFont="1" applyFill="1" applyAlignment="1">
      <alignment wrapText="1"/>
    </xf>
    <xf numFmtId="9" fontId="13" fillId="0" borderId="0" xfId="1" applyFont="1"/>
    <xf numFmtId="165" fontId="13" fillId="0" borderId="0" xfId="0" applyNumberFormat="1" applyFont="1"/>
    <xf numFmtId="9" fontId="17" fillId="0" borderId="0" xfId="0" applyNumberFormat="1" applyFont="1" applyFill="1"/>
    <xf numFmtId="166" fontId="13" fillId="0" borderId="0" xfId="2" applyNumberFormat="1" applyFont="1"/>
    <xf numFmtId="164" fontId="13" fillId="0" borderId="15" xfId="0" applyNumberFormat="1" applyFont="1" applyBorder="1" applyAlignment="1">
      <alignment horizontal="center" vertical="center"/>
    </xf>
    <xf numFmtId="0" fontId="15" fillId="0" borderId="0" xfId="0" applyFont="1" applyFill="1" applyBorder="1"/>
    <xf numFmtId="0" fontId="15" fillId="0" borderId="0" xfId="0" applyFont="1" applyAlignment="1">
      <alignment wrapText="1"/>
    </xf>
    <xf numFmtId="0" fontId="13" fillId="3" borderId="9"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5" borderId="9" xfId="0" applyFont="1" applyFill="1" applyBorder="1" applyAlignment="1">
      <alignment horizontal="center" vertical="center" wrapText="1"/>
    </xf>
    <xf numFmtId="0" fontId="13" fillId="5" borderId="10" xfId="0" applyFont="1" applyFill="1" applyBorder="1" applyAlignment="1">
      <alignment horizontal="center" vertical="center" wrapText="1"/>
    </xf>
    <xf numFmtId="0" fontId="13" fillId="0" borderId="11"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0" xfId="0" applyFont="1" applyAlignment="1">
      <alignment wrapText="1"/>
    </xf>
    <xf numFmtId="0" fontId="13" fillId="0" borderId="0" xfId="0" applyFont="1" applyAlignment="1"/>
  </cellXfs>
  <cellStyles count="3">
    <cellStyle name="Comma" xfId="2" builtinId="3"/>
    <cellStyle name="Normal" xfId="0" builtinId="0"/>
    <cellStyle name="Percent"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U92"/>
  <sheetViews>
    <sheetView tabSelected="1" topLeftCell="A3" zoomScale="70" zoomScaleNormal="70" workbookViewId="0">
      <selection activeCell="E3" sqref="E3"/>
    </sheetView>
  </sheetViews>
  <sheetFormatPr defaultRowHeight="12"/>
  <cols>
    <col min="1" max="1" width="3.42578125" style="113" bestFit="1" customWidth="1"/>
    <col min="2" max="2" width="2.140625" style="113" customWidth="1"/>
    <col min="3" max="3" width="34.7109375" style="114" customWidth="1"/>
    <col min="4" max="4" width="5.140625" style="114" customWidth="1"/>
    <col min="5" max="9" width="10.85546875" style="114" customWidth="1"/>
    <col min="10" max="10" width="11.85546875" style="114" hidden="1" customWidth="1"/>
    <col min="11" max="11" width="9.7109375" style="114" hidden="1" customWidth="1"/>
    <col min="12" max="13" width="0" style="114" hidden="1" customWidth="1"/>
    <col min="14" max="14" width="11" style="114" hidden="1" customWidth="1"/>
    <col min="15" max="15" width="12.5703125" style="114" hidden="1" customWidth="1"/>
    <col min="16" max="19" width="0" style="114" hidden="1" customWidth="1"/>
    <col min="20" max="20" width="10.7109375" style="114" hidden="1" customWidth="1"/>
    <col min="21" max="23" width="0" style="114" hidden="1" customWidth="1"/>
    <col min="24" max="16384" width="9.140625" style="114"/>
  </cols>
  <sheetData>
    <row r="1" spans="1:21" hidden="1">
      <c r="N1" s="115"/>
      <c r="O1" s="116">
        <f ca="1">+TODAY()</f>
        <v>41576</v>
      </c>
      <c r="P1" s="117" t="s">
        <v>41</v>
      </c>
      <c r="Q1" s="117" t="s">
        <v>42</v>
      </c>
      <c r="R1" s="117" t="s">
        <v>33</v>
      </c>
      <c r="S1" s="117"/>
      <c r="T1" s="117" t="s">
        <v>33</v>
      </c>
      <c r="U1" s="118"/>
    </row>
    <row r="2" spans="1:21" hidden="1">
      <c r="N2" s="119"/>
      <c r="O2" s="120">
        <f ca="1">+IF(O1&gt;DATE(2013,8,31),DATE(2013,8,31),+O1)</f>
        <v>41517</v>
      </c>
      <c r="P2" s="121">
        <f ca="1">+DAY(O2)</f>
        <v>31</v>
      </c>
      <c r="Q2" s="121">
        <f ca="1">+MONTH(O2)</f>
        <v>8</v>
      </c>
      <c r="R2" s="121">
        <f ca="1">+YEAR(O2)</f>
        <v>2013</v>
      </c>
      <c r="S2" s="121"/>
      <c r="T2" s="121">
        <f ca="1">+IF(YEARFRAC(DATE(YEAR(E5),1,1),E5,1)-YEARFRAC(DATE(YEAR(O2),1,1),O2,1)&lt;=0,YEAR(O2)-YEAR(E5),YEAR(O2)-YEAR(E5)-1)</f>
        <v>10</v>
      </c>
      <c r="U2" s="122"/>
    </row>
    <row r="3" spans="1:21" ht="16.5" customHeight="1">
      <c r="A3" s="113">
        <v>1</v>
      </c>
      <c r="C3" s="123" t="s">
        <v>54</v>
      </c>
      <c r="E3" s="124">
        <v>290000</v>
      </c>
      <c r="F3" s="114" t="s">
        <v>51</v>
      </c>
      <c r="N3" s="119"/>
      <c r="O3" s="121"/>
      <c r="P3" s="121"/>
      <c r="Q3" s="121"/>
      <c r="R3" s="121"/>
      <c r="S3" s="121"/>
      <c r="T3" s="121"/>
      <c r="U3" s="122"/>
    </row>
    <row r="4" spans="1:21" ht="16.5" customHeight="1">
      <c r="A4" s="113">
        <v>2</v>
      </c>
      <c r="C4" s="123" t="s">
        <v>53</v>
      </c>
      <c r="E4" s="124">
        <v>125000</v>
      </c>
      <c r="F4" s="114" t="s">
        <v>51</v>
      </c>
      <c r="N4" s="119"/>
      <c r="O4" s="121"/>
      <c r="P4" s="121"/>
      <c r="Q4" s="121"/>
      <c r="R4" s="121"/>
      <c r="S4" s="121"/>
      <c r="T4" s="121"/>
      <c r="U4" s="122"/>
    </row>
    <row r="5" spans="1:21" ht="16.5" customHeight="1">
      <c r="A5" s="113">
        <v>3</v>
      </c>
      <c r="C5" s="123" t="s">
        <v>52</v>
      </c>
      <c r="E5" s="125">
        <v>37751</v>
      </c>
      <c r="F5" s="114" t="s">
        <v>58</v>
      </c>
      <c r="G5" s="126"/>
      <c r="N5" s="119"/>
      <c r="O5" s="127"/>
      <c r="P5" s="121">
        <f>+DAY(E5)</f>
        <v>10</v>
      </c>
      <c r="Q5" s="121">
        <f>+MONTH(E5)</f>
        <v>5</v>
      </c>
      <c r="R5" s="121">
        <f>+YEAR(E5)</f>
        <v>2003</v>
      </c>
      <c r="S5" s="121"/>
      <c r="T5" s="121"/>
      <c r="U5" s="122"/>
    </row>
    <row r="6" spans="1:21" ht="16.5" customHeight="1">
      <c r="A6" s="113">
        <v>4</v>
      </c>
      <c r="C6" s="123"/>
      <c r="E6" s="128"/>
      <c r="G6" s="126"/>
      <c r="H6" s="128"/>
      <c r="N6" s="119"/>
      <c r="O6" s="121"/>
      <c r="P6" s="121"/>
      <c r="Q6" s="121"/>
      <c r="R6" s="121"/>
      <c r="S6" s="121"/>
      <c r="T6" s="121"/>
      <c r="U6" s="122"/>
    </row>
    <row r="7" spans="1:21" ht="16.5" customHeight="1">
      <c r="A7" s="113">
        <v>5</v>
      </c>
      <c r="C7" s="123" t="s">
        <v>47</v>
      </c>
      <c r="D7" s="129">
        <v>7.4999999999999997E-2</v>
      </c>
      <c r="E7" s="130">
        <f>+E4*7.5%</f>
        <v>9375</v>
      </c>
      <c r="F7" s="114" t="s">
        <v>51</v>
      </c>
      <c r="G7" s="126"/>
      <c r="H7" s="128"/>
      <c r="N7" s="131"/>
      <c r="O7" s="132"/>
      <c r="P7" s="132"/>
      <c r="Q7" s="132"/>
      <c r="R7" s="132"/>
      <c r="S7" s="132"/>
      <c r="T7" s="133"/>
      <c r="U7" s="134"/>
    </row>
    <row r="8" spans="1:21" ht="16.5" customHeight="1">
      <c r="A8" s="113">
        <v>6</v>
      </c>
      <c r="C8" s="123" t="s">
        <v>85</v>
      </c>
      <c r="D8" s="129"/>
      <c r="E8" s="135">
        <v>12000</v>
      </c>
      <c r="G8" s="126"/>
      <c r="H8" s="128"/>
      <c r="N8" s="121"/>
      <c r="O8" s="121"/>
      <c r="P8" s="121"/>
      <c r="Q8" s="121"/>
      <c r="R8" s="121"/>
      <c r="S8" s="121"/>
      <c r="T8" s="136"/>
      <c r="U8" s="121"/>
    </row>
    <row r="9" spans="1:21" ht="27.75" customHeight="1">
      <c r="A9" s="113">
        <v>7</v>
      </c>
      <c r="C9" s="137" t="s">
        <v>111</v>
      </c>
      <c r="D9" s="129"/>
      <c r="E9" s="138"/>
      <c r="G9" s="126"/>
      <c r="H9" s="128"/>
      <c r="N9" s="121"/>
      <c r="O9" s="121"/>
      <c r="P9" s="121"/>
      <c r="Q9" s="121"/>
      <c r="R9" s="121"/>
      <c r="S9" s="121"/>
      <c r="T9" s="136"/>
      <c r="U9" s="121"/>
    </row>
    <row r="10" spans="1:21" ht="14.25" customHeight="1">
      <c r="A10" s="113">
        <v>8</v>
      </c>
      <c r="C10" s="123"/>
      <c r="D10" s="129"/>
      <c r="E10" s="130"/>
      <c r="G10" s="126"/>
      <c r="H10" s="128"/>
    </row>
    <row r="11" spans="1:21" ht="30.75" customHeight="1">
      <c r="A11" s="113">
        <v>9</v>
      </c>
      <c r="C11" s="123"/>
      <c r="D11" s="139" t="s">
        <v>56</v>
      </c>
      <c r="E11" s="140" t="s">
        <v>57</v>
      </c>
      <c r="F11" s="141" t="s">
        <v>61</v>
      </c>
      <c r="G11" s="126"/>
      <c r="H11" s="128"/>
    </row>
    <row r="12" spans="1:21" ht="24">
      <c r="A12" s="113">
        <v>10</v>
      </c>
      <c r="C12" s="123" t="s">
        <v>107</v>
      </c>
      <c r="D12" s="142" t="s">
        <v>55</v>
      </c>
      <c r="E12" s="135">
        <v>12000</v>
      </c>
      <c r="F12" s="143" t="s">
        <v>109</v>
      </c>
      <c r="G12" s="126"/>
      <c r="H12" s="128"/>
    </row>
    <row r="13" spans="1:21" ht="15.75" customHeight="1">
      <c r="A13" s="113">
        <v>11</v>
      </c>
      <c r="C13" s="137"/>
      <c r="D13" s="144"/>
      <c r="E13" s="145"/>
      <c r="F13" s="143"/>
      <c r="G13" s="126"/>
      <c r="H13" s="128"/>
    </row>
    <row r="14" spans="1:21">
      <c r="A14" s="113">
        <v>12</v>
      </c>
      <c r="C14" s="123"/>
      <c r="E14" s="130"/>
      <c r="G14" s="126"/>
      <c r="H14" s="128"/>
    </row>
    <row r="15" spans="1:21" ht="36">
      <c r="A15" s="113">
        <v>13</v>
      </c>
      <c r="C15" s="123" t="s">
        <v>91</v>
      </c>
      <c r="D15" s="146">
        <v>0.15</v>
      </c>
      <c r="E15" s="130">
        <f ca="1">+IF(T2&gt;=5,E4*15%,0)</f>
        <v>18750</v>
      </c>
      <c r="F15" s="114" t="s">
        <v>51</v>
      </c>
      <c r="G15" s="114" t="str">
        <f ca="1">+IF($H$16="","","up to")</f>
        <v/>
      </c>
      <c r="H15" s="128" t="str">
        <f ca="1">+IF(H16="","",H16-1)</f>
        <v/>
      </c>
      <c r="I15" s="143"/>
    </row>
    <row r="16" spans="1:21">
      <c r="A16" s="113">
        <v>14</v>
      </c>
      <c r="C16" s="123" t="str">
        <f ca="1">+IF(H16="","","refurbishment flat ratio (if the property was acquired more than 5 years ago, refurbished or not)")</f>
        <v/>
      </c>
      <c r="D16" s="146" t="str">
        <f ca="1">+IF(H16="","",15%)</f>
        <v/>
      </c>
      <c r="E16" s="130" t="str">
        <f ca="1">+IF(H16="","",E4*15%)</f>
        <v/>
      </c>
      <c r="F16" s="114" t="str">
        <f ca="1">IF(H16="","","euros")</f>
        <v/>
      </c>
      <c r="G16" s="114" t="str">
        <f ca="1">+IF(H16="","","after")</f>
        <v/>
      </c>
      <c r="H16" s="128" t="str">
        <f ca="1">+IF(T2&gt;=5,"",DATE(R5+5,Q5,P5))</f>
        <v/>
      </c>
    </row>
    <row r="17" spans="1:10" ht="24">
      <c r="A17" s="113">
        <v>15</v>
      </c>
      <c r="C17" s="123" t="s">
        <v>87</v>
      </c>
      <c r="D17" s="147"/>
      <c r="E17" s="130">
        <f ca="1">+IF(AND(E12&gt;E15,OR(D12="yes",D12="YES")),E4+E7+E12,E4+E7+E15)</f>
        <v>153125</v>
      </c>
      <c r="F17" s="114" t="s">
        <v>51</v>
      </c>
      <c r="G17" s="114" t="str">
        <f ca="1">+IF($H$16="","","up to")</f>
        <v/>
      </c>
      <c r="H17" s="128" t="str">
        <f ca="1">+H15</f>
        <v/>
      </c>
    </row>
    <row r="18" spans="1:10">
      <c r="A18" s="113">
        <v>16</v>
      </c>
      <c r="C18" s="123" t="str">
        <f ca="1">+IF(H17="","","adjusted acquisition price (acquisition price + stamp duty + refurbishment")</f>
        <v/>
      </c>
      <c r="D18" s="147"/>
      <c r="E18" s="130" t="str">
        <f ca="1">+IF(H16="","",IF(AND(E12&gt;E16,OR(D12="yes",D12="YES")),E4+E7+E12,E4+E7+E16))</f>
        <v/>
      </c>
      <c r="F18" s="114" t="str">
        <f ca="1">+IF(H16="","","euros")</f>
        <v/>
      </c>
      <c r="G18" s="114" t="str">
        <f ca="1">+IF(H16="","","after")</f>
        <v/>
      </c>
      <c r="H18" s="128" t="str">
        <f ca="1">+H16</f>
        <v/>
      </c>
    </row>
    <row r="19" spans="1:10" ht="24">
      <c r="A19" s="113">
        <v>17</v>
      </c>
      <c r="C19" s="123" t="s">
        <v>86</v>
      </c>
      <c r="D19" s="147"/>
      <c r="E19" s="130">
        <f ca="1">+E3-E17-E8</f>
        <v>124875</v>
      </c>
      <c r="F19" s="114" t="s">
        <v>51</v>
      </c>
      <c r="G19" s="114" t="str">
        <f ca="1">+IF($H$16="","","up to")</f>
        <v/>
      </c>
      <c r="H19" s="128" t="str">
        <f ca="1">+H17</f>
        <v/>
      </c>
    </row>
    <row r="20" spans="1:10">
      <c r="A20" s="113">
        <v>18</v>
      </c>
      <c r="C20" s="123" t="str">
        <f ca="1">+IF(H16="","","capital gains (selling price -selling costs - adjusted acquisition price)")</f>
        <v/>
      </c>
      <c r="E20" s="130" t="str">
        <f ca="1">+IF(H16="","",E3-E18-E8)</f>
        <v/>
      </c>
      <c r="F20" s="114" t="str">
        <f ca="1">+IF(H16="","","euros")</f>
        <v/>
      </c>
      <c r="G20" s="114" t="str">
        <f ca="1">+IF(H16="","","after")</f>
        <v/>
      </c>
      <c r="H20" s="128" t="str">
        <f ca="1">+H18</f>
        <v/>
      </c>
    </row>
    <row r="21" spans="1:10" ht="16.5" hidden="1" customHeight="1">
      <c r="A21" s="113">
        <v>19</v>
      </c>
      <c r="C21" s="123"/>
      <c r="E21" s="130"/>
      <c r="F21" s="202"/>
      <c r="G21" s="203"/>
      <c r="H21" s="128"/>
    </row>
    <row r="22" spans="1:10" hidden="1">
      <c r="A22" s="113">
        <v>20</v>
      </c>
      <c r="C22" s="123"/>
      <c r="D22" s="128"/>
    </row>
    <row r="23" spans="1:10" ht="61.5" customHeight="1">
      <c r="A23" s="113">
        <v>21</v>
      </c>
      <c r="C23" s="148" t="s">
        <v>23</v>
      </c>
      <c r="D23" s="149" t="str">
        <f ca="1">+IF(D24="","","current tax rule")</f>
        <v/>
      </c>
      <c r="E23" s="150" t="str">
        <f ca="1">+IF(O2=DATE(2013,8,31),"previous tax rule","current tax  rule")</f>
        <v>previous tax rule</v>
      </c>
      <c r="F23" s="195" t="s">
        <v>46</v>
      </c>
      <c r="G23" s="196"/>
      <c r="H23" s="197" t="s">
        <v>44</v>
      </c>
      <c r="I23" s="198"/>
      <c r="J23" s="123"/>
    </row>
    <row r="24" spans="1:10">
      <c r="A24" s="113">
        <v>22</v>
      </c>
      <c r="C24" s="199" t="s">
        <v>45</v>
      </c>
      <c r="D24" s="151" t="str">
        <f ca="1">+IF(D25="","","between")</f>
        <v/>
      </c>
      <c r="E24" s="151" t="str">
        <f ca="1">+IF(O2=DATE(2013,8,31),"before","between")</f>
        <v>before</v>
      </c>
      <c r="F24" s="151" t="s">
        <v>43</v>
      </c>
      <c r="G24" s="151" t="str">
        <f>+IF(G25="","","between")</f>
        <v>between</v>
      </c>
      <c r="H24" s="151" t="s">
        <v>43</v>
      </c>
      <c r="I24" s="151" t="s">
        <v>43</v>
      </c>
    </row>
    <row r="25" spans="1:10">
      <c r="A25" s="113">
        <v>23</v>
      </c>
      <c r="C25" s="200"/>
      <c r="D25" s="152" t="str">
        <f ca="1">+IF(D26="","",O2)</f>
        <v/>
      </c>
      <c r="E25" s="152" t="str">
        <f ca="1">IF(O2=DATE(2013,8,31),"",+IF(OR(DATE(2013,Q5,P5)&lt;O2,DATE(2013,Q5,P5)&gt;DATE(2013,8,31)),O2,DATE(2013,Q5,P5)))</f>
        <v/>
      </c>
      <c r="F25" s="152">
        <v>41518</v>
      </c>
      <c r="G25" s="152">
        <f>+IF(+F26=DATE(2014,8,31),"",F26+1)</f>
        <v>41769</v>
      </c>
      <c r="H25" s="152">
        <f>++IF(G26="",F26+1,G26+1)</f>
        <v>41883</v>
      </c>
      <c r="I25" s="152">
        <f>+H26+1</f>
        <v>42134</v>
      </c>
    </row>
    <row r="26" spans="1:10">
      <c r="A26" s="113">
        <v>24</v>
      </c>
      <c r="C26" s="201"/>
      <c r="D26" s="153" t="str">
        <f ca="1">+IF(OR(DATE(2013,Q5,P5)&lt;O2,DATE(2013,Q5,P5)&gt;DATE(2013,8,31)),"",DATE(2013,Q5,P5-1))</f>
        <v/>
      </c>
      <c r="E26" s="153">
        <v>41517</v>
      </c>
      <c r="F26" s="153">
        <f>+IF(DATE(2013,Q5,P5-1)&gt;=F25,DATE(2013,Q5,P5-1),DATE(2014,Q5,P5-1))</f>
        <v>41768</v>
      </c>
      <c r="G26" s="153">
        <f>+IF(G25="","",DATE(2014,8,31))</f>
        <v>41882</v>
      </c>
      <c r="H26" s="153">
        <f>+IF(DATE(2014,Q5,P5-1)&gt;=H25,DATE(2014,Q5,P5-1),DATE(2015,Q5,P5-1))</f>
        <v>42133</v>
      </c>
      <c r="I26" s="153">
        <f>+DATE(YEAR(I25)+1,MONTH(I25),DAY(I25)-1)</f>
        <v>42499</v>
      </c>
    </row>
    <row r="27" spans="1:10" ht="48">
      <c r="A27" s="113">
        <v>25</v>
      </c>
      <c r="C27" s="154" t="s">
        <v>112</v>
      </c>
      <c r="D27" s="155" t="str">
        <f ca="1">+IF(D26="","",VLOOKUP(T2,'with 02 08 update'!AZ24:BA54,2,TRUE))</f>
        <v/>
      </c>
      <c r="E27" s="155">
        <f ca="1">++IF(D27="",VLOOKUP(T2,'with 02 08 update'!AZ24:BA54,2,TRUE),VLOOKUP(T2+1,'with 02 08 update'!AZ24:BA54,2,TRUE))</f>
        <v>42145.3125</v>
      </c>
      <c r="F27" s="155">
        <f ca="1">+IF(AND(F26&lt;&gt;DATE(2014,8,31),D27=""),VLOOKUP(T2,'with 02 08 update'!AM24:AO54,2,TRUE),VLOOKUP(T2+1,'with 02 08 update'!AM24:AO54,2,TRUE))</f>
        <v>27086.558203125001</v>
      </c>
      <c r="G27" s="155">
        <f ca="1">+IF(+G25="","",IF(D27="",VLOOKUP(T2+1,'with 02 08 update'!AM24:AN54,2,TRUE),VLOOKUP(T2+2,'with 02 08 update'!AM24:AN54,2,TRUE)))</f>
        <v>25663.963593749999</v>
      </c>
      <c r="H27" s="155">
        <f ca="1">+IF(AND(F26&lt;&gt;DATE(2014,8,31),D27=""),VLOOKUP(T2+1,'with 02 08 update'!AC24:AD54,2,TRUE),VLOOKUP(T2+2,'with 02 08 update'!AC24:AD54,2,TRUE))</f>
        <v>34222.618125000001</v>
      </c>
      <c r="I27" s="155">
        <f ca="1">+IF(AND(F26&lt;&gt;DATE(2014,8,31),D27=""),VLOOKUP(T2+2,'with 02 08 update'!AC24:AD54,2,TRUE),VLOOKUP(T2+3,'with 02 08 update'!AC24:AD54,2,TRUE))</f>
        <v>32329.825312500001</v>
      </c>
    </row>
    <row r="28" spans="1:10">
      <c r="A28" s="113">
        <v>26</v>
      </c>
      <c r="C28" s="156" t="s">
        <v>49</v>
      </c>
      <c r="D28" s="157" t="str">
        <f ca="1">+IF(D27="","",D27/$E$19)</f>
        <v/>
      </c>
      <c r="E28" s="157">
        <f ca="1">+E27/$E$19</f>
        <v>0.33750000000000002</v>
      </c>
      <c r="F28" s="157">
        <f ca="1">+F27/$E$19</f>
        <v>0.21690937500000002</v>
      </c>
      <c r="G28" s="157">
        <f ca="1">+IF(G27="","",G27/$E$19)</f>
        <v>0.20551722597597596</v>
      </c>
      <c r="H28" s="157">
        <f ca="1">+H27/$E$19</f>
        <v>0.27405499999999999</v>
      </c>
      <c r="I28" s="157">
        <f ca="1">+I27/$E$19</f>
        <v>0.2588975</v>
      </c>
    </row>
    <row r="29" spans="1:10" ht="24">
      <c r="A29" s="113">
        <v>27</v>
      </c>
      <c r="C29" s="158" t="s">
        <v>50</v>
      </c>
      <c r="D29" s="159" t="str">
        <f ca="1">+IF(D27="","",+D27/($E$19+$E$15))</f>
        <v/>
      </c>
      <c r="E29" s="159">
        <f ca="1">+E27/($E$19+$E$15)</f>
        <v>0.29343994778067883</v>
      </c>
      <c r="F29" s="159">
        <f ca="1">+F27/($E$19+$E$15)</f>
        <v>0.18859222421671018</v>
      </c>
      <c r="G29" s="159">
        <f ca="1">+IF(G27="","",G27/($E$19+$E$15))</f>
        <v>0.17868730091383811</v>
      </c>
      <c r="H29" s="159">
        <f ca="1">+H27/($E$19+$E$15)</f>
        <v>0.23827758485639688</v>
      </c>
      <c r="I29" s="159">
        <f ca="1">+I27/($E$19+$E$15)</f>
        <v>0.22509887075718016</v>
      </c>
    </row>
    <row r="30" spans="1:10">
      <c r="A30" s="113">
        <v>28</v>
      </c>
      <c r="C30" s="160"/>
      <c r="D30" s="161"/>
      <c r="E30" s="161"/>
      <c r="F30" s="161"/>
      <c r="G30" s="161"/>
      <c r="H30" s="161"/>
      <c r="I30" s="161"/>
    </row>
    <row r="31" spans="1:10">
      <c r="A31" s="113">
        <v>29</v>
      </c>
      <c r="C31" s="160"/>
      <c r="D31" s="161"/>
      <c r="E31" s="161"/>
      <c r="F31" s="161"/>
      <c r="G31" s="161"/>
      <c r="H31" s="161"/>
      <c r="I31" s="161"/>
    </row>
    <row r="32" spans="1:10" ht="24">
      <c r="A32" s="113">
        <v>30</v>
      </c>
      <c r="C32" s="162" t="s">
        <v>76</v>
      </c>
      <c r="D32" s="161"/>
      <c r="E32" s="163">
        <f ca="1">+IF(E26&lt;=$H$19,+$E$19,+$E$20)</f>
        <v>124875</v>
      </c>
      <c r="F32" s="163">
        <f t="shared" ref="F32:I32" ca="1" si="0">+IF(F26&lt;=$H$19,+$E$19,+$E$20)</f>
        <v>124875</v>
      </c>
      <c r="G32" s="163">
        <f t="shared" ca="1" si="0"/>
        <v>124875</v>
      </c>
      <c r="H32" s="163">
        <f t="shared" ca="1" si="0"/>
        <v>124875</v>
      </c>
      <c r="I32" s="163">
        <f t="shared" ca="1" si="0"/>
        <v>124875</v>
      </c>
    </row>
    <row r="33" spans="1:11">
      <c r="A33" s="113">
        <v>31</v>
      </c>
      <c r="C33" s="160"/>
      <c r="D33" s="161"/>
      <c r="E33" s="163">
        <f>++YEAR(E26-E5)</f>
        <v>1910</v>
      </c>
      <c r="F33" s="163"/>
      <c r="G33" s="163"/>
      <c r="H33" s="163"/>
      <c r="I33" s="163"/>
    </row>
    <row r="34" spans="1:11" ht="24">
      <c r="A34" s="113">
        <v>32</v>
      </c>
      <c r="C34" s="164" t="s">
        <v>106</v>
      </c>
      <c r="D34" s="161"/>
      <c r="E34" s="163"/>
      <c r="G34" s="163"/>
      <c r="H34" s="163"/>
      <c r="I34" s="163"/>
    </row>
    <row r="35" spans="1:11">
      <c r="A35" s="113">
        <v>33</v>
      </c>
      <c r="C35" s="160" t="s">
        <v>80</v>
      </c>
      <c r="D35" s="161"/>
      <c r="E35" s="165">
        <f ca="1">+IF(VLOOKUP(E$27,'with 02 08 update'!$A$24:$AX$54,6,FALSE)&lt;5,+YEARFRAC(E26,E5),VLOOKUP(E$27,'with 02 08 update'!$A$24:$AX$54,6,FALSE))</f>
        <v>10</v>
      </c>
      <c r="F35" s="165">
        <f ca="1">+IF(VLOOKUP(F$27,'with 02 08 update'!$B$24:$AX$54,5,FALSE)&lt;5,+YEARFRAC(F25,E5),VLOOKUP(F$27,'with 02 08 update'!$B$24:$AX$54,5,FALSE))</f>
        <v>10</v>
      </c>
      <c r="G35" s="165">
        <f ca="1">+IF(VLOOKUP(G$27,'with 02 08 update'!$B$24:$AX$54,5,FALSE)&lt;5,+YEARFRAC(G25,E5),VLOOKUP(G$27,'with 02 08 update'!$B$24:$AX$54,5,FALSE))</f>
        <v>11</v>
      </c>
      <c r="H35" s="165">
        <f ca="1">+IF(VLOOKUP(H$27,'with 02 08 update'!$C$24:$AX$54,4,FALSE)&lt;5,YEARFRAC(H25,E5),VLOOKUP(H$27,'with 02 08 update'!$C$24:$AX$54,4,FALSE))</f>
        <v>11</v>
      </c>
      <c r="I35" s="166">
        <f ca="1">+VLOOKUP(I$27,'with 02 08 update'!$C$24:$AX$54,4,FALSE)</f>
        <v>12</v>
      </c>
    </row>
    <row r="36" spans="1:11" ht="24">
      <c r="A36" s="113">
        <v>34</v>
      </c>
      <c r="C36" s="162" t="s">
        <v>104</v>
      </c>
      <c r="D36" s="161"/>
      <c r="E36" s="167">
        <f ca="1">+VLOOKUP(E$27,'with 02 08 update'!$A$24:$AX$54,44,FALSE)</f>
        <v>0.1</v>
      </c>
      <c r="F36" s="168">
        <f ca="1">+VLOOKUP(F$27,'with 02 08 update'!$B$24:$AX$54,7,FALSE)</f>
        <v>0.3</v>
      </c>
      <c r="G36" s="168">
        <f ca="1">+VLOOKUP(G$27,'with 02 08 update'!$B$24:$AX$54,7,FALSE)</f>
        <v>0.36</v>
      </c>
      <c r="H36" s="168">
        <f ca="1">+VLOOKUP(H$27,'with 02 08 update'!$C$24:$AX$54,6,FALSE)</f>
        <v>0.36</v>
      </c>
      <c r="I36" s="168">
        <f ca="1">+VLOOKUP(I$27,'with 02 08 update'!$C$24:$AX$54,6,FALSE)</f>
        <v>0.42</v>
      </c>
    </row>
    <row r="37" spans="1:11" ht="24">
      <c r="A37" s="113">
        <v>35</v>
      </c>
      <c r="C37" s="162" t="s">
        <v>70</v>
      </c>
      <c r="D37" s="161"/>
      <c r="E37" s="169">
        <f ca="1">+E32*E36</f>
        <v>12487.5</v>
      </c>
      <c r="F37" s="169">
        <f ca="1">+F32*F36</f>
        <v>37462.5</v>
      </c>
      <c r="G37" s="169">
        <f ca="1">+G32*G36</f>
        <v>44955</v>
      </c>
      <c r="H37" s="169">
        <f t="shared" ref="H37:I37" ca="1" si="1">+H32*H36</f>
        <v>44955</v>
      </c>
      <c r="I37" s="169">
        <f t="shared" ca="1" si="1"/>
        <v>52447.5</v>
      </c>
    </row>
    <row r="38" spans="1:11" ht="24">
      <c r="A38" s="113">
        <v>36</v>
      </c>
      <c r="C38" s="162" t="s">
        <v>79</v>
      </c>
      <c r="D38" s="161"/>
      <c r="E38" s="169">
        <v>0</v>
      </c>
      <c r="F38" s="170">
        <f ca="1">+(F32-F37)*0.25</f>
        <v>21853.125</v>
      </c>
      <c r="G38" s="170">
        <f ca="1">+(G32-G37)*0.25</f>
        <v>19980</v>
      </c>
      <c r="H38" s="169">
        <v>0</v>
      </c>
      <c r="I38" s="169">
        <v>0</v>
      </c>
    </row>
    <row r="39" spans="1:11">
      <c r="A39" s="113">
        <v>37</v>
      </c>
      <c r="C39" s="162" t="s">
        <v>67</v>
      </c>
      <c r="D39" s="161"/>
      <c r="E39" s="169">
        <f ca="1">+VLOOKUP(E$27,'with 02 08 update'!$A$24:$AX$54,45,FALSE)</f>
        <v>112387.5</v>
      </c>
      <c r="F39" s="169">
        <f ca="1">+F32-F37-F38</f>
        <v>65559.375</v>
      </c>
      <c r="G39" s="169">
        <f ca="1">+G32-G37-G38</f>
        <v>59940</v>
      </c>
      <c r="H39" s="169">
        <f ca="1">+H32-H37-H38</f>
        <v>79920</v>
      </c>
      <c r="I39" s="169">
        <f ca="1">+I32-I37-I38</f>
        <v>72427.5</v>
      </c>
      <c r="K39" s="130">
        <f ca="1">+E32-E37-E39</f>
        <v>0</v>
      </c>
    </row>
    <row r="40" spans="1:11" ht="24">
      <c r="A40" s="113">
        <v>38</v>
      </c>
      <c r="C40" s="171" t="s">
        <v>100</v>
      </c>
      <c r="D40" s="161"/>
      <c r="E40" s="169">
        <f ca="1">+E39*0.19</f>
        <v>21353.625</v>
      </c>
      <c r="F40" s="169">
        <f ca="1">+F39*0.19</f>
        <v>12456.28125</v>
      </c>
      <c r="G40" s="169">
        <f ca="1">+G39*0.19</f>
        <v>11388.6</v>
      </c>
      <c r="H40" s="169">
        <f t="shared" ref="H40:I40" ca="1" si="2">+H39*0.19</f>
        <v>15184.8</v>
      </c>
      <c r="I40" s="169">
        <f t="shared" ca="1" si="2"/>
        <v>13761.225</v>
      </c>
    </row>
    <row r="41" spans="1:11">
      <c r="A41" s="113">
        <v>39</v>
      </c>
      <c r="C41" s="171" t="s">
        <v>99</v>
      </c>
      <c r="D41" s="161"/>
      <c r="E41" s="169">
        <f ca="1">+E39*(0.333333333333333)</f>
        <v>37462.499999999964</v>
      </c>
      <c r="F41" s="169">
        <f t="shared" ref="F41:I41" ca="1" si="3">+F39*(0.333333333333333)</f>
        <v>21853.124999999978</v>
      </c>
      <c r="G41" s="169">
        <f t="shared" ca="1" si="3"/>
        <v>19979.999999999978</v>
      </c>
      <c r="H41" s="169">
        <f t="shared" ca="1" si="3"/>
        <v>26639.999999999971</v>
      </c>
      <c r="I41" s="169">
        <f t="shared" ca="1" si="3"/>
        <v>24142.499999999975</v>
      </c>
    </row>
    <row r="42" spans="1:11">
      <c r="A42" s="113">
        <v>40</v>
      </c>
      <c r="C42" s="171"/>
      <c r="D42" s="161"/>
      <c r="E42" s="163"/>
      <c r="F42" s="163"/>
      <c r="G42" s="163"/>
      <c r="H42" s="163"/>
      <c r="I42" s="163"/>
    </row>
    <row r="43" spans="1:11">
      <c r="A43" s="113">
        <v>41</v>
      </c>
      <c r="C43" s="171" t="s">
        <v>84</v>
      </c>
      <c r="D43" s="161"/>
      <c r="E43" s="163"/>
      <c r="F43" s="163"/>
      <c r="G43" s="163"/>
      <c r="H43" s="163"/>
      <c r="I43" s="163"/>
    </row>
    <row r="44" spans="1:11" ht="24">
      <c r="A44" s="113">
        <v>42</v>
      </c>
      <c r="C44" s="162" t="s">
        <v>104</v>
      </c>
      <c r="D44" s="161"/>
      <c r="E44" s="168">
        <f ca="1">+E36</f>
        <v>0.1</v>
      </c>
      <c r="F44" s="168">
        <f ca="1">+VLOOKUP(F$27,'with 02 08 update'!$B$24:$AX$54,15,FALSE)</f>
        <v>8.2500000000000004E-2</v>
      </c>
      <c r="G44" s="168">
        <f ca="1">+VLOOKUP(G$27,'with 02 08 update'!$B$24:$AX$54,15,FALSE)</f>
        <v>9.9000000000000005E-2</v>
      </c>
      <c r="H44" s="168">
        <f ca="1">+VLOOKUP(H$27,'with 02 08 update'!$C$24:$AX$54,14,FALSE)</f>
        <v>9.9000000000000005E-2</v>
      </c>
      <c r="I44" s="168">
        <f ca="1">+VLOOKUP(I$27,'with 02 08 update'!$C$24:$AX$54,14,FALSE)</f>
        <v>0.11550000000000001</v>
      </c>
    </row>
    <row r="45" spans="1:11" ht="24">
      <c r="A45" s="113">
        <v>43</v>
      </c>
      <c r="C45" s="162" t="s">
        <v>70</v>
      </c>
      <c r="D45" s="161"/>
      <c r="E45" s="163">
        <f ca="1">+E37</f>
        <v>12487.5</v>
      </c>
      <c r="F45" s="163">
        <f ca="1">+F32*F44</f>
        <v>10302.1875</v>
      </c>
      <c r="G45" s="163">
        <f ca="1">+G32*G44</f>
        <v>12362.625</v>
      </c>
      <c r="H45" s="163">
        <f ca="1">+H32*H44</f>
        <v>12362.625</v>
      </c>
      <c r="I45" s="163">
        <f ca="1">+I32*I44</f>
        <v>14423.0625</v>
      </c>
    </row>
    <row r="46" spans="1:11" ht="24">
      <c r="A46" s="113">
        <v>44</v>
      </c>
      <c r="C46" s="162" t="s">
        <v>79</v>
      </c>
      <c r="D46" s="161"/>
      <c r="E46" s="163">
        <v>0</v>
      </c>
      <c r="F46" s="166">
        <f ca="1">+(F32-F45)*0.25</f>
        <v>28643.203125</v>
      </c>
      <c r="G46" s="166">
        <f ca="1">+(G32-G45)*0.25</f>
        <v>28128.09375</v>
      </c>
      <c r="H46" s="163">
        <v>0</v>
      </c>
      <c r="I46" s="163">
        <v>0</v>
      </c>
    </row>
    <row r="47" spans="1:11">
      <c r="A47" s="113">
        <v>45</v>
      </c>
      <c r="C47" s="162" t="s">
        <v>67</v>
      </c>
      <c r="D47" s="161"/>
      <c r="E47" s="163">
        <f ca="1">+E39</f>
        <v>112387.5</v>
      </c>
      <c r="F47" s="163">
        <f ca="1">+F32-F45-F46</f>
        <v>85929.609375</v>
      </c>
      <c r="G47" s="163">
        <f ca="1">+G32-G45-G46</f>
        <v>84384.28125</v>
      </c>
      <c r="H47" s="163">
        <f ca="1">+H32-H45-H46</f>
        <v>112512.375</v>
      </c>
      <c r="I47" s="163">
        <f ca="1">+I32-I45-I46</f>
        <v>110451.9375</v>
      </c>
    </row>
    <row r="48" spans="1:11">
      <c r="A48" s="113">
        <v>46</v>
      </c>
      <c r="C48" s="171" t="s">
        <v>68</v>
      </c>
      <c r="D48" s="161"/>
      <c r="E48" s="163">
        <f ca="1">+E47*0.155</f>
        <v>17420.0625</v>
      </c>
      <c r="F48" s="163">
        <f ca="1">+F47*0.155</f>
        <v>13319.089453125</v>
      </c>
      <c r="G48" s="163">
        <f ca="1">+G47*0.155</f>
        <v>13079.563593749999</v>
      </c>
      <c r="H48" s="163">
        <f t="shared" ref="H48:I48" ca="1" si="4">+H47*0.155</f>
        <v>17439.418125</v>
      </c>
      <c r="I48" s="163">
        <f t="shared" ca="1" si="4"/>
        <v>17120.0503125</v>
      </c>
    </row>
    <row r="49" spans="1:21">
      <c r="A49" s="113">
        <v>47</v>
      </c>
      <c r="C49" s="162"/>
      <c r="D49" s="161"/>
      <c r="E49" s="163"/>
      <c r="F49" s="163"/>
      <c r="G49" s="163"/>
      <c r="H49" s="163"/>
      <c r="I49" s="163"/>
    </row>
    <row r="50" spans="1:21" ht="24">
      <c r="A50" s="113">
        <v>48</v>
      </c>
      <c r="C50" s="171" t="s">
        <v>69</v>
      </c>
      <c r="D50" s="161"/>
      <c r="E50" s="172"/>
      <c r="F50" s="163"/>
      <c r="G50" s="163"/>
      <c r="H50" s="163"/>
      <c r="I50" s="163"/>
    </row>
    <row r="51" spans="1:21">
      <c r="A51" s="113">
        <v>49</v>
      </c>
      <c r="C51" s="162" t="s">
        <v>67</v>
      </c>
      <c r="D51" s="161"/>
      <c r="E51" s="173">
        <f ca="1">+E39</f>
        <v>112387.5</v>
      </c>
      <c r="F51" s="174">
        <f t="shared" ref="F51:I51" ca="1" si="5">+F39</f>
        <v>65559.375</v>
      </c>
      <c r="G51" s="174">
        <f t="shared" ca="1" si="5"/>
        <v>59940</v>
      </c>
      <c r="H51" s="173">
        <f t="shared" ca="1" si="5"/>
        <v>79920</v>
      </c>
      <c r="I51" s="173">
        <f t="shared" ca="1" si="5"/>
        <v>72427.5</v>
      </c>
    </row>
    <row r="52" spans="1:21">
      <c r="A52" s="113">
        <v>50</v>
      </c>
      <c r="C52" s="162" t="s">
        <v>77</v>
      </c>
      <c r="D52" s="161"/>
      <c r="E52" s="168">
        <f ca="1">+VLOOKUP(E$27,'with 02 08 update'!$A$24:$AX$54,50,FALSE)</f>
        <v>0.03</v>
      </c>
      <c r="F52" s="175">
        <f ca="1">+VLOOKUP(F$27,'with 02 08 update'!$B$24:$AX$54,36,FALSE)</f>
        <v>0.02</v>
      </c>
      <c r="G52" s="175">
        <f ca="1">+VLOOKUP(G$27,'with 02 08 update'!$B$24:$AX$54,36,FALSE)</f>
        <v>1.994994994994995E-2</v>
      </c>
      <c r="H52" s="168">
        <f ca="1">+VLOOKUP(H$27,'with 02 08 update'!$C$24:$AX$54,25,FALSE)</f>
        <v>0.02</v>
      </c>
      <c r="I52" s="168">
        <f ca="1">+VLOOKUP(I$27,'with 02 08 update'!$C$24:$AX$54,25,FALSE)</f>
        <v>0.02</v>
      </c>
      <c r="K52" s="176">
        <f ca="1">+VLOOKUP(E$27,'with 02 08 update'!$A$24:$AX$54,50,FALSE)</f>
        <v>0.03</v>
      </c>
      <c r="L52" s="176">
        <f ca="1">+VLOOKUP(F$27,'with 02 08 update'!$B$24:$AX$54,36,FALSE)</f>
        <v>0.02</v>
      </c>
      <c r="M52" s="176">
        <f ca="1">+VLOOKUP(G$27,'with 02 08 update'!$B$24:$AX$54,36,FALSE)</f>
        <v>1.994994994994995E-2</v>
      </c>
      <c r="N52" s="176">
        <f ca="1">+VLOOKUP(H$27,'with 02 08 update'!$C$24:$AX$54,25,FALSE)</f>
        <v>0.02</v>
      </c>
      <c r="O52" s="176">
        <f ca="1">+VLOOKUP(I$27,'with 02 08 update'!$C$24:$AX$54,25,FALSE)</f>
        <v>0.02</v>
      </c>
    </row>
    <row r="53" spans="1:21">
      <c r="A53" s="113">
        <v>51</v>
      </c>
      <c r="C53" s="171" t="s">
        <v>78</v>
      </c>
      <c r="D53" s="161"/>
      <c r="E53" s="163">
        <f ca="1">+VLOOKUP(E$27,'with 02 08 update'!$A$24:$AX$54,49,FALSE)</f>
        <v>3371.625</v>
      </c>
      <c r="F53" s="169">
        <f ca="1">+VLOOKUP(F$27,'with 02 08 update'!$B$24:$AX$54,35,FALSE)</f>
        <v>1311.1875</v>
      </c>
      <c r="G53" s="169">
        <f ca="1">+VLOOKUP(G$27,'with 02 08 update'!$B$24:$AX$54,35,FALSE)</f>
        <v>1195.8</v>
      </c>
      <c r="H53" s="169">
        <f ca="1">+VLOOKUP(H$27,'with 02 08 update'!$C$24:$AX$54,24,FALSE)</f>
        <v>1598.4</v>
      </c>
      <c r="I53" s="169">
        <f ca="1">+VLOOKUP(I$27,'with 02 08 update'!$C$24:$AX$54,24,FALSE)</f>
        <v>1448.5500000000004</v>
      </c>
      <c r="K53" s="177">
        <f ca="1">+VLOOKUP(E$27,'with 02 08 update'!$A$24:$AX$54,49,FALSE)</f>
        <v>3371.625</v>
      </c>
      <c r="L53" s="178">
        <f ca="1">+VLOOKUP(F$27,'with 02 08 update'!$B$24:$AX$54,35,FALSE)</f>
        <v>1311.1875</v>
      </c>
      <c r="M53" s="178">
        <f ca="1">+VLOOKUP(G$27,'with 02 08 update'!$B$24:$AX$54,35,FALSE)</f>
        <v>1195.8</v>
      </c>
      <c r="N53" s="178">
        <f ca="1">+VLOOKUP(H$27,'with 02 08 update'!$C$24:$AX$54,24,FALSE)</f>
        <v>1598.4</v>
      </c>
      <c r="O53" s="178">
        <f ca="1">+VLOOKUP(I$27,'with 02 08 update'!$C$24:$AX$54,24,FALSE)</f>
        <v>1448.5500000000004</v>
      </c>
      <c r="Q53" s="114">
        <f ca="1">+E39*K52-K53</f>
        <v>0</v>
      </c>
      <c r="R53" s="114">
        <f t="shared" ref="R53:U53" ca="1" si="6">+F39*L52-L53</f>
        <v>0</v>
      </c>
      <c r="S53" s="114">
        <f t="shared" ca="1" si="6"/>
        <v>0</v>
      </c>
      <c r="T53" s="114">
        <f t="shared" ca="1" si="6"/>
        <v>0</v>
      </c>
      <c r="U53" s="114">
        <f t="shared" ca="1" si="6"/>
        <v>0</v>
      </c>
    </row>
    <row r="54" spans="1:21">
      <c r="A54" s="113">
        <v>52</v>
      </c>
      <c r="C54" s="162"/>
      <c r="D54" s="161"/>
      <c r="E54" s="163"/>
      <c r="F54" s="169"/>
      <c r="G54" s="169"/>
      <c r="H54" s="169"/>
      <c r="I54" s="169"/>
    </row>
    <row r="55" spans="1:21" ht="24">
      <c r="A55" s="113">
        <v>53</v>
      </c>
      <c r="C55" s="179" t="s">
        <v>101</v>
      </c>
      <c r="D55" s="180"/>
      <c r="E55" s="181">
        <f ca="1">+E53+E48+E40</f>
        <v>42145.3125</v>
      </c>
      <c r="F55" s="181">
        <f ca="1">+F40+F48+F53</f>
        <v>27086.558203125001</v>
      </c>
      <c r="G55" s="181">
        <f ca="1">+G40+G48+G53</f>
        <v>25663.963593749999</v>
      </c>
      <c r="H55" s="181">
        <f t="shared" ref="H55:I55" ca="1" si="7">+H40+H48+H53</f>
        <v>34222.618125000001</v>
      </c>
      <c r="I55" s="182">
        <f t="shared" ca="1" si="7"/>
        <v>32329.825312500001</v>
      </c>
      <c r="K55" s="130">
        <f ca="1">+E27-E55</f>
        <v>0</v>
      </c>
      <c r="L55" s="130">
        <f ca="1">+F27-F55</f>
        <v>0</v>
      </c>
      <c r="M55" s="130">
        <f ca="1">+G27-G55</f>
        <v>0</v>
      </c>
      <c r="N55" s="130">
        <f ca="1">+H27-H55</f>
        <v>0</v>
      </c>
      <c r="O55" s="130">
        <f ca="1">+I27-I55</f>
        <v>0</v>
      </c>
    </row>
    <row r="56" spans="1:21" ht="36">
      <c r="A56" s="113">
        <v>54</v>
      </c>
      <c r="C56" s="179" t="s">
        <v>102</v>
      </c>
      <c r="D56" s="180"/>
      <c r="E56" s="181">
        <f ca="1">+E53+E48+E41</f>
        <v>58254.187499999964</v>
      </c>
      <c r="F56" s="181">
        <f t="shared" ref="F56:I56" ca="1" si="8">+F53+F48+F41</f>
        <v>36483.40195312498</v>
      </c>
      <c r="G56" s="181">
        <f t="shared" ca="1" si="8"/>
        <v>34255.363593749978</v>
      </c>
      <c r="H56" s="181">
        <f t="shared" ca="1" si="8"/>
        <v>45677.818124999976</v>
      </c>
      <c r="I56" s="182">
        <f t="shared" ca="1" si="8"/>
        <v>42711.10031249997</v>
      </c>
      <c r="K56" s="130"/>
      <c r="L56" s="130"/>
      <c r="M56" s="130"/>
      <c r="N56" s="130"/>
      <c r="O56" s="130"/>
    </row>
    <row r="57" spans="1:21">
      <c r="A57" s="113">
        <v>55</v>
      </c>
      <c r="C57" s="171"/>
      <c r="D57" s="183"/>
      <c r="E57" s="184"/>
      <c r="F57" s="185"/>
      <c r="G57" s="185"/>
      <c r="H57" s="185"/>
      <c r="I57" s="185"/>
      <c r="K57" s="130"/>
      <c r="L57" s="130"/>
      <c r="M57" s="130"/>
      <c r="N57" s="130"/>
      <c r="O57" s="130"/>
    </row>
    <row r="58" spans="1:21">
      <c r="A58" s="113">
        <v>56</v>
      </c>
      <c r="C58" s="162"/>
      <c r="D58" s="161"/>
      <c r="E58" s="161"/>
      <c r="F58" s="161"/>
      <c r="G58" s="161"/>
      <c r="H58" s="161"/>
      <c r="I58" s="161"/>
    </row>
    <row r="59" spans="1:21" ht="24">
      <c r="A59" s="113">
        <v>57</v>
      </c>
      <c r="C59" s="162" t="s">
        <v>81</v>
      </c>
      <c r="D59" s="161"/>
      <c r="E59" s="163">
        <f ca="1">+E39/2</f>
        <v>56193.75</v>
      </c>
      <c r="F59" s="163">
        <f t="shared" ref="F59:I59" ca="1" si="9">+F39/2</f>
        <v>32779.6875</v>
      </c>
      <c r="G59" s="163">
        <f t="shared" ca="1" si="9"/>
        <v>29970</v>
      </c>
      <c r="H59" s="163">
        <f t="shared" ca="1" si="9"/>
        <v>39960</v>
      </c>
      <c r="I59" s="163">
        <f t="shared" ca="1" si="9"/>
        <v>36213.75</v>
      </c>
      <c r="P59" s="123"/>
      <c r="Q59" s="186" t="s">
        <v>29</v>
      </c>
      <c r="R59" s="187" t="s">
        <v>32</v>
      </c>
    </row>
    <row r="60" spans="1:21">
      <c r="A60" s="113">
        <v>58</v>
      </c>
      <c r="C60" s="162" t="s">
        <v>82</v>
      </c>
      <c r="D60" s="161"/>
      <c r="E60" s="167">
        <f ca="1">+K62</f>
        <v>1.6613279946613279E-2</v>
      </c>
      <c r="F60" s="167">
        <f t="shared" ref="F60:I60" ca="1" si="10">+L62</f>
        <v>0</v>
      </c>
      <c r="G60" s="167">
        <f t="shared" ca="1" si="10"/>
        <v>0</v>
      </c>
      <c r="H60" s="167">
        <f t="shared" ca="1" si="10"/>
        <v>0</v>
      </c>
      <c r="I60" s="167">
        <f t="shared" ca="1" si="10"/>
        <v>0</v>
      </c>
      <c r="K60" s="188">
        <f ca="1">+IF(ROUNDDOWN(E59/50000,0)&gt;=6,6%,VLOOKUP(ROUNDDOWN(E59/50000,0),$P$60:$R$67,3,FALSE))</f>
        <v>0.02</v>
      </c>
      <c r="L60" s="188">
        <f t="shared" ref="L60:N60" ca="1" si="11">+IF(ROUNDDOWN(F59/50000,0)&gt;=6,6%,VLOOKUP(ROUNDDOWN(F59/50000,0),$P$60:$R$67,3,FALSE))</f>
        <v>0</v>
      </c>
      <c r="M60" s="188">
        <f t="shared" ca="1" si="11"/>
        <v>0</v>
      </c>
      <c r="N60" s="188">
        <f t="shared" ca="1" si="11"/>
        <v>0</v>
      </c>
      <c r="O60" s="188">
        <f ca="1">+IF(ROUNDDOWN(I59/50000,0)&gt;=6,6%,VLOOKUP(ROUNDDOWN(I59/50000,0),$P$60:$R$67,3,FALSE))</f>
        <v>0</v>
      </c>
      <c r="P60" s="114">
        <v>0</v>
      </c>
      <c r="Q60" s="189">
        <v>0</v>
      </c>
      <c r="R60" s="190">
        <v>0</v>
      </c>
    </row>
    <row r="61" spans="1:21">
      <c r="A61" s="113">
        <v>59</v>
      </c>
      <c r="C61" s="162" t="s">
        <v>83</v>
      </c>
      <c r="D61" s="161"/>
      <c r="E61" s="163">
        <f ca="1">+K61</f>
        <v>933.5625</v>
      </c>
      <c r="F61" s="163">
        <f t="shared" ref="F61:I61" ca="1" si="12">+L61</f>
        <v>0</v>
      </c>
      <c r="G61" s="163">
        <f t="shared" ca="1" si="12"/>
        <v>0</v>
      </c>
      <c r="H61" s="163">
        <f t="shared" ca="1" si="12"/>
        <v>0</v>
      </c>
      <c r="I61" s="163">
        <f t="shared" ca="1" si="12"/>
        <v>0</v>
      </c>
      <c r="K61" s="191">
        <f ca="1">+IF(ROUNDDOWN(E59/50000,0)&gt;=6,+K60*E59,+IF(K60&lt;2%,0,(IF((((E59/50000)-ROUNDDOWN(E59/50000,0))&gt;0.2),E59*K60,+E59*K60-((ROUNDUP(E59/10000,0))*10000-E59)*((K60*100-1)/20)))))</f>
        <v>933.5625</v>
      </c>
      <c r="L61" s="191">
        <f t="shared" ref="L61:O61" ca="1" si="13">+IF(ROUNDDOWN(F59/50000,0)&gt;=6,+L60*F59,+IF(L60&lt;2%,0,(IF((((F59/50000)-ROUNDDOWN(F59/50000,0))&gt;0.2),F59*L60,+F59*L60-((ROUNDUP(F59/10000,0))*10000-F59)*((L60*100-1)/20)))))</f>
        <v>0</v>
      </c>
      <c r="M61" s="191">
        <f t="shared" ca="1" si="13"/>
        <v>0</v>
      </c>
      <c r="N61" s="191">
        <f t="shared" ca="1" si="13"/>
        <v>0</v>
      </c>
      <c r="O61" s="191">
        <f t="shared" ca="1" si="13"/>
        <v>0</v>
      </c>
      <c r="P61" s="114">
        <v>1</v>
      </c>
      <c r="Q61" s="189">
        <v>50000</v>
      </c>
      <c r="R61" s="190">
        <v>0.02</v>
      </c>
    </row>
    <row r="62" spans="1:21">
      <c r="A62" s="113">
        <v>60</v>
      </c>
      <c r="C62" s="171"/>
      <c r="D62" s="161"/>
      <c r="E62" s="167"/>
      <c r="F62" s="167"/>
      <c r="G62" s="167"/>
      <c r="H62" s="167"/>
      <c r="I62" s="167"/>
      <c r="K62" s="188">
        <f ca="1">+K61/E59</f>
        <v>1.6613279946613279E-2</v>
      </c>
      <c r="L62" s="188">
        <f t="shared" ref="L62:O62" ca="1" si="14">+L61/F59</f>
        <v>0</v>
      </c>
      <c r="M62" s="188">
        <f t="shared" ca="1" si="14"/>
        <v>0</v>
      </c>
      <c r="N62" s="188">
        <f t="shared" ca="1" si="14"/>
        <v>0</v>
      </c>
      <c r="O62" s="188">
        <f t="shared" ca="1" si="14"/>
        <v>0</v>
      </c>
      <c r="P62" s="114">
        <v>2</v>
      </c>
      <c r="Q62" s="189">
        <f>+Q61+50000</f>
        <v>100000</v>
      </c>
      <c r="R62" s="190">
        <f>+R61+1%</f>
        <v>0.03</v>
      </c>
    </row>
    <row r="63" spans="1:21" ht="24">
      <c r="A63" s="113">
        <v>61</v>
      </c>
      <c r="C63" s="179" t="s">
        <v>103</v>
      </c>
      <c r="D63" s="192"/>
      <c r="E63" s="181">
        <f ca="1">+E40+E48+E61</f>
        <v>39707.25</v>
      </c>
      <c r="F63" s="181">
        <f t="shared" ref="F63:I63" ca="1" si="15">+F40+F48+F61</f>
        <v>25775.370703125001</v>
      </c>
      <c r="G63" s="181">
        <f t="shared" ca="1" si="15"/>
        <v>24468.16359375</v>
      </c>
      <c r="H63" s="181">
        <f t="shared" ca="1" si="15"/>
        <v>32624.218124999999</v>
      </c>
      <c r="I63" s="182">
        <f t="shared" ca="1" si="15"/>
        <v>30881.275312500002</v>
      </c>
      <c r="P63" s="114">
        <v>3</v>
      </c>
      <c r="Q63" s="189">
        <f t="shared" ref="Q63:Q67" si="16">+Q62+50000</f>
        <v>150000</v>
      </c>
      <c r="R63" s="190">
        <f t="shared" ref="R63:R67" si="17">+R62+1%</f>
        <v>0.04</v>
      </c>
    </row>
    <row r="64" spans="1:21" ht="36">
      <c r="A64" s="113">
        <v>62</v>
      </c>
      <c r="C64" s="179" t="s">
        <v>110</v>
      </c>
      <c r="D64" s="192"/>
      <c r="E64" s="181">
        <f ca="1">+E61+E48+E41</f>
        <v>55816.124999999964</v>
      </c>
      <c r="F64" s="181">
        <f t="shared" ref="F64:I64" ca="1" si="18">+F61+F48+F41</f>
        <v>35172.21445312498</v>
      </c>
      <c r="G64" s="181">
        <f t="shared" ca="1" si="18"/>
        <v>33059.563593749976</v>
      </c>
      <c r="H64" s="181">
        <f t="shared" ca="1" si="18"/>
        <v>44079.418124999967</v>
      </c>
      <c r="I64" s="182">
        <f t="shared" ca="1" si="18"/>
        <v>41262.550312499974</v>
      </c>
      <c r="Q64" s="189"/>
      <c r="R64" s="190"/>
    </row>
    <row r="65" spans="1:18">
      <c r="A65" s="113">
        <v>63</v>
      </c>
      <c r="C65" s="193"/>
      <c r="D65" s="161"/>
      <c r="E65" s="185"/>
      <c r="F65" s="185"/>
      <c r="G65" s="185"/>
      <c r="H65" s="185"/>
      <c r="I65" s="185"/>
      <c r="Q65" s="189"/>
      <c r="R65" s="190"/>
    </row>
    <row r="66" spans="1:18">
      <c r="A66" s="113">
        <v>64</v>
      </c>
      <c r="C66" s="193"/>
      <c r="D66" s="128"/>
      <c r="P66" s="114">
        <v>4</v>
      </c>
      <c r="Q66" s="189">
        <f>+Q63+50000</f>
        <v>200000</v>
      </c>
      <c r="R66" s="190">
        <f>+R63+1%</f>
        <v>0.05</v>
      </c>
    </row>
    <row r="67" spans="1:18">
      <c r="A67" s="113">
        <v>65</v>
      </c>
      <c r="C67" s="123"/>
      <c r="P67" s="114">
        <v>5</v>
      </c>
      <c r="Q67" s="189">
        <f t="shared" si="16"/>
        <v>250000</v>
      </c>
      <c r="R67" s="190">
        <f t="shared" si="17"/>
        <v>6.0000000000000005E-2</v>
      </c>
    </row>
    <row r="68" spans="1:18" ht="90.75" customHeight="1">
      <c r="A68" s="113">
        <v>66</v>
      </c>
      <c r="C68" s="171" t="s">
        <v>88</v>
      </c>
    </row>
    <row r="69" spans="1:18">
      <c r="A69" s="113">
        <v>67</v>
      </c>
    </row>
    <row r="70" spans="1:18" ht="47.25" customHeight="1">
      <c r="A70" s="113">
        <v>68</v>
      </c>
      <c r="C70" s="194" t="s">
        <v>89</v>
      </c>
    </row>
    <row r="71" spans="1:18" ht="51.75" customHeight="1">
      <c r="A71" s="113">
        <v>69</v>
      </c>
      <c r="C71" s="194" t="s">
        <v>97</v>
      </c>
    </row>
    <row r="72" spans="1:18" ht="60" customHeight="1">
      <c r="A72" s="113">
        <v>70</v>
      </c>
      <c r="C72" s="123" t="s">
        <v>60</v>
      </c>
    </row>
    <row r="73" spans="1:18">
      <c r="A73" s="113">
        <v>71</v>
      </c>
    </row>
    <row r="74" spans="1:18">
      <c r="A74" s="113">
        <v>72</v>
      </c>
      <c r="C74" s="114" t="s">
        <v>65</v>
      </c>
    </row>
    <row r="75" spans="1:18">
      <c r="A75" s="113">
        <v>73</v>
      </c>
    </row>
    <row r="76" spans="1:18" ht="36">
      <c r="A76" s="113">
        <v>74</v>
      </c>
      <c r="C76" s="194" t="s">
        <v>108</v>
      </c>
    </row>
    <row r="77" spans="1:18" ht="57" customHeight="1">
      <c r="A77" s="113">
        <v>75</v>
      </c>
      <c r="C77" s="123" t="s">
        <v>62</v>
      </c>
    </row>
    <row r="78" spans="1:18" ht="60">
      <c r="A78" s="113">
        <v>76</v>
      </c>
      <c r="C78" s="123" t="s">
        <v>63</v>
      </c>
    </row>
    <row r="79" spans="1:18" ht="34.5" customHeight="1">
      <c r="A79" s="113">
        <v>77</v>
      </c>
      <c r="C79" s="123" t="s">
        <v>64</v>
      </c>
    </row>
    <row r="80" spans="1:18">
      <c r="A80" s="113">
        <v>78</v>
      </c>
    </row>
    <row r="81" spans="1:3">
      <c r="A81" s="113">
        <v>79</v>
      </c>
    </row>
    <row r="82" spans="1:3">
      <c r="A82" s="113">
        <v>80</v>
      </c>
      <c r="C82" s="123"/>
    </row>
    <row r="83" spans="1:3" ht="66" customHeight="1">
      <c r="A83" s="113">
        <v>81</v>
      </c>
      <c r="C83" s="123" t="s">
        <v>90</v>
      </c>
    </row>
    <row r="84" spans="1:3" ht="110.25" customHeight="1">
      <c r="A84" s="113">
        <v>82</v>
      </c>
      <c r="C84" s="194" t="s">
        <v>98</v>
      </c>
    </row>
    <row r="85" spans="1:3" ht="84">
      <c r="A85" s="113">
        <v>83</v>
      </c>
      <c r="C85" s="137" t="s">
        <v>105</v>
      </c>
    </row>
    <row r="86" spans="1:3">
      <c r="A86" s="113">
        <v>84</v>
      </c>
    </row>
    <row r="87" spans="1:3" ht="60">
      <c r="A87" s="113">
        <v>85</v>
      </c>
      <c r="C87" s="123" t="s">
        <v>66</v>
      </c>
    </row>
    <row r="88" spans="1:3" ht="36">
      <c r="A88" s="113">
        <v>86</v>
      </c>
      <c r="C88" s="123" t="s">
        <v>92</v>
      </c>
    </row>
    <row r="89" spans="1:3" ht="48">
      <c r="A89" s="113">
        <v>87</v>
      </c>
      <c r="C89" s="123" t="s">
        <v>93</v>
      </c>
    </row>
    <row r="90" spans="1:3" ht="48">
      <c r="A90" s="113">
        <v>88</v>
      </c>
      <c r="C90" s="123" t="s">
        <v>94</v>
      </c>
    </row>
    <row r="91" spans="1:3" ht="24">
      <c r="A91" s="113">
        <v>89</v>
      </c>
      <c r="C91" s="123" t="s">
        <v>95</v>
      </c>
    </row>
    <row r="92" spans="1:3" ht="132">
      <c r="A92" s="113">
        <v>90</v>
      </c>
      <c r="C92" s="123" t="s">
        <v>96</v>
      </c>
    </row>
  </sheetData>
  <sheetProtection password="C19B" sheet="1" objects="1" scenarios="1" selectLockedCells="1"/>
  <mergeCells count="4">
    <mergeCell ref="F23:G23"/>
    <mergeCell ref="H23:I23"/>
    <mergeCell ref="C24:C26"/>
    <mergeCell ref="F21:G21"/>
  </mergeCell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dimension ref="A1:BU59"/>
  <sheetViews>
    <sheetView topLeftCell="C8" zoomScale="70" zoomScaleNormal="70" workbookViewId="0">
      <selection activeCell="F22" sqref="F22"/>
    </sheetView>
  </sheetViews>
  <sheetFormatPr defaultRowHeight="15"/>
  <cols>
    <col min="5" max="5" width="11.5703125" bestFit="1" customWidth="1"/>
    <col min="6" max="6" width="15.28515625" customWidth="1"/>
    <col min="9" max="9" width="12.5703125" bestFit="1" customWidth="1"/>
    <col min="12" max="13" width="9.140625" style="9"/>
    <col min="15" max="16" width="11.5703125" style="6" customWidth="1"/>
    <col min="17" max="17" width="10.7109375" style="60" customWidth="1"/>
    <col min="18" max="18" width="8.28515625" style="60" customWidth="1"/>
    <col min="19" max="19" width="6.140625" style="60" customWidth="1"/>
    <col min="20" max="20" width="12.7109375" style="6" customWidth="1"/>
    <col min="21" max="21" width="7.85546875" customWidth="1"/>
    <col min="22" max="22" width="5.85546875" customWidth="1"/>
    <col min="23" max="23" width="8.5703125" customWidth="1"/>
    <col min="24" max="24" width="9.42578125" customWidth="1"/>
    <col min="25" max="25" width="9.5703125" customWidth="1"/>
    <col min="26" max="26" width="11.140625" style="18" customWidth="1"/>
    <col min="27" max="27" width="6.28515625" style="65" customWidth="1"/>
    <col min="28" max="29" width="3.85546875" style="65" customWidth="1"/>
    <col min="30" max="30" width="10.42578125" style="88" customWidth="1"/>
    <col min="31" max="31" width="10.42578125" style="89" customWidth="1"/>
    <col min="32" max="32" width="2.85546875" customWidth="1"/>
    <col min="33" max="33" width="9.7109375" style="10" customWidth="1"/>
    <col min="34" max="35" width="9.140625" style="11"/>
    <col min="36" max="36" width="7.5703125" style="11" customWidth="1"/>
    <col min="37" max="37" width="6.85546875" style="11" customWidth="1"/>
    <col min="38" max="39" width="10.42578125" style="11" customWidth="1"/>
    <col min="40" max="40" width="9.85546875" style="97" customWidth="1"/>
    <col min="41" max="41" width="12" style="97" customWidth="1"/>
    <col min="42" max="42" width="2.5703125" customWidth="1"/>
    <col min="45" max="46" width="10.140625" customWidth="1"/>
    <col min="47" max="47" width="6.5703125" customWidth="1"/>
    <col min="48" max="48" width="8.42578125" customWidth="1"/>
    <col min="49" max="49" width="11" customWidth="1"/>
    <col min="50" max="50" width="7.28515625" customWidth="1"/>
    <col min="51" max="51" width="4.28515625" customWidth="1"/>
    <col min="52" max="52" width="4.5703125" customWidth="1"/>
    <col min="53" max="53" width="9.5703125" style="102" customWidth="1"/>
    <col min="54" max="54" width="7.5703125" style="102" customWidth="1"/>
    <col min="55" max="55" width="5.28515625" style="23" customWidth="1"/>
    <col min="56" max="56" width="11.5703125" bestFit="1" customWidth="1"/>
    <col min="57" max="57" width="12" customWidth="1"/>
    <col min="59" max="59" width="6" customWidth="1"/>
    <col min="60" max="60" width="13.5703125" style="9" customWidth="1"/>
    <col min="61" max="61" width="11.85546875" style="12" bestFit="1" customWidth="1"/>
    <col min="63" max="63" width="4.85546875" customWidth="1"/>
  </cols>
  <sheetData>
    <row r="1" spans="6:72">
      <c r="F1" t="s">
        <v>19</v>
      </c>
      <c r="I1" s="105">
        <f>+recap!E4</f>
        <v>125000</v>
      </c>
      <c r="K1">
        <f>160*1.8</f>
        <v>288</v>
      </c>
      <c r="W1">
        <v>12887</v>
      </c>
    </row>
    <row r="2" spans="6:72">
      <c r="F2" t="s">
        <v>21</v>
      </c>
      <c r="G2" s="2">
        <v>7.4999999999999997E-2</v>
      </c>
      <c r="H2" s="2"/>
      <c r="I2" s="22">
        <f>+G2*I1</f>
        <v>9375</v>
      </c>
      <c r="S2" s="109"/>
      <c r="W2">
        <v>10359</v>
      </c>
      <c r="BD2">
        <f>82720*15.5%</f>
        <v>12821.6</v>
      </c>
      <c r="BE2">
        <v>15717</v>
      </c>
    </row>
    <row r="3" spans="6:72">
      <c r="F3" t="s">
        <v>22</v>
      </c>
      <c r="G3" s="2" t="s">
        <v>59</v>
      </c>
      <c r="H3" s="2"/>
      <c r="I3" s="22">
        <f>+IF(recap!E12&lt;0,0,+recap!E12)</f>
        <v>12000</v>
      </c>
    </row>
    <row r="4" spans="6:72">
      <c r="F4" t="s">
        <v>22</v>
      </c>
      <c r="G4" s="2">
        <v>0.15</v>
      </c>
      <c r="H4" s="2"/>
      <c r="I4" s="22">
        <f ca="1">+IF(recap!E15&gt;0,recap!E15,recap!E16)</f>
        <v>18750</v>
      </c>
      <c r="T4" s="54"/>
      <c r="W4">
        <v>816</v>
      </c>
      <c r="Z4" s="18">
        <f ca="1">2%*I36-(60000-I36)*(0.05)</f>
        <v>2069.9250000000011</v>
      </c>
      <c r="BD4">
        <f>82720*19%</f>
        <v>15716.800000000001</v>
      </c>
      <c r="BE4">
        <v>1654</v>
      </c>
      <c r="BQ4">
        <f>82720*0.19</f>
        <v>15716.800000000001</v>
      </c>
    </row>
    <row r="5" spans="6:72">
      <c r="T5" s="54"/>
    </row>
    <row r="6" spans="6:72">
      <c r="F6" t="s">
        <v>48</v>
      </c>
      <c r="G6" s="2"/>
      <c r="H6" s="2"/>
      <c r="I6" s="22">
        <f ca="1">+IF(I3&gt;I4,+I1+I2+I3+I,+I1+I2+I4)</f>
        <v>153125</v>
      </c>
      <c r="Z6" s="18">
        <f ca="1">+ROUNDUP(I36/10000,0)</f>
        <v>8</v>
      </c>
      <c r="BE6">
        <v>12822</v>
      </c>
    </row>
    <row r="7" spans="6:72">
      <c r="F7" t="s">
        <v>20</v>
      </c>
      <c r="I7" s="105">
        <f>+recap!E3</f>
        <v>290000</v>
      </c>
      <c r="W7" t="s">
        <v>6</v>
      </c>
      <c r="Z7" s="18" t="s">
        <v>7</v>
      </c>
      <c r="AI7" t="s">
        <v>7</v>
      </c>
    </row>
    <row r="8" spans="6:72">
      <c r="F8" t="s">
        <v>85</v>
      </c>
      <c r="G8" s="2"/>
      <c r="H8" s="2"/>
      <c r="I8" s="22">
        <f>+recap!E8</f>
        <v>12000</v>
      </c>
      <c r="AI8"/>
    </row>
    <row r="9" spans="6:72">
      <c r="I9" s="112">
        <f ca="1">+I7-I6-I8</f>
        <v>124875</v>
      </c>
      <c r="L9" s="57">
        <v>0.25</v>
      </c>
      <c r="Q9" s="61"/>
      <c r="R9" s="61"/>
      <c r="S9" s="61"/>
      <c r="T9" s="8">
        <v>0.25</v>
      </c>
      <c r="Y9" s="14"/>
      <c r="Z9" s="19">
        <v>2014</v>
      </c>
      <c r="AE9" s="90"/>
      <c r="AF9" s="14"/>
      <c r="AG9" s="15">
        <v>2014</v>
      </c>
      <c r="AH9" s="16">
        <v>20.14</v>
      </c>
      <c r="AI9" s="15">
        <v>2014</v>
      </c>
      <c r="AJ9" s="14">
        <v>2014</v>
      </c>
      <c r="AK9" s="14"/>
      <c r="AL9" s="14"/>
      <c r="AM9" s="14"/>
      <c r="AN9" s="98">
        <v>2014</v>
      </c>
      <c r="AO9" s="98">
        <v>2014</v>
      </c>
      <c r="AQ9" s="17">
        <v>2013</v>
      </c>
      <c r="AR9" s="17"/>
      <c r="AS9" s="17">
        <v>2013</v>
      </c>
      <c r="AT9" s="17">
        <v>2013</v>
      </c>
      <c r="AU9" s="17">
        <v>2013</v>
      </c>
      <c r="AV9" s="17">
        <v>2013</v>
      </c>
      <c r="AW9" s="17">
        <v>2013</v>
      </c>
      <c r="AX9" s="17"/>
      <c r="AY9" s="17"/>
      <c r="AZ9" s="17"/>
      <c r="BA9" s="98">
        <v>2013</v>
      </c>
      <c r="BC9" s="24"/>
      <c r="BD9" s="14" t="s">
        <v>12</v>
      </c>
      <c r="BH9" s="14" t="s">
        <v>12</v>
      </c>
      <c r="BR9" t="s">
        <v>4</v>
      </c>
    </row>
    <row r="10" spans="6:72">
      <c r="I10" s="5"/>
      <c r="L10" s="57"/>
      <c r="Q10" s="61"/>
      <c r="R10" s="61"/>
      <c r="S10" s="61"/>
      <c r="T10" s="8"/>
      <c r="Y10" s="14"/>
      <c r="Z10" s="19"/>
      <c r="AE10" s="90"/>
      <c r="AF10" s="14"/>
      <c r="AG10" s="15"/>
      <c r="AH10" s="16"/>
      <c r="AI10" s="15"/>
      <c r="AJ10" s="14"/>
      <c r="AK10" s="14"/>
      <c r="AL10" s="14"/>
      <c r="AM10" s="14"/>
      <c r="AN10" s="98"/>
      <c r="AO10" s="98"/>
      <c r="AQ10" s="17"/>
      <c r="AR10" s="17"/>
      <c r="AS10" s="17"/>
      <c r="AT10" s="17"/>
      <c r="AU10" s="17"/>
      <c r="AV10" s="17"/>
      <c r="AW10" s="17"/>
      <c r="AX10" s="17"/>
      <c r="AY10" s="17"/>
      <c r="AZ10" s="17"/>
      <c r="BA10" s="98"/>
      <c r="BC10" s="24"/>
      <c r="BD10" s="14"/>
      <c r="BH10" s="14"/>
    </row>
    <row r="11" spans="6:72">
      <c r="G11" s="1">
        <v>0.19</v>
      </c>
      <c r="H11" s="1"/>
      <c r="O11" s="7">
        <v>0.155</v>
      </c>
      <c r="P11" s="7"/>
      <c r="Y11" s="18" t="s">
        <v>5</v>
      </c>
      <c r="Z11" s="18" t="s">
        <v>5</v>
      </c>
      <c r="AE11" s="90"/>
      <c r="AF11" s="14"/>
      <c r="AG11" s="10" t="s">
        <v>2</v>
      </c>
      <c r="AH11" s="11" t="s">
        <v>2</v>
      </c>
      <c r="AI11" s="18" t="s">
        <v>5</v>
      </c>
      <c r="AJ11" s="18" t="s">
        <v>5</v>
      </c>
      <c r="AK11" s="18"/>
      <c r="AL11" s="18"/>
      <c r="AM11" s="18"/>
      <c r="AN11" s="98" t="s">
        <v>9</v>
      </c>
      <c r="AO11" s="98" t="s">
        <v>1</v>
      </c>
      <c r="AQ11" s="17"/>
      <c r="AR11" s="17"/>
      <c r="AS11" s="17"/>
      <c r="AT11" t="s">
        <v>10</v>
      </c>
      <c r="AV11" t="s">
        <v>7</v>
      </c>
      <c r="AW11" t="s">
        <v>7</v>
      </c>
      <c r="BA11" s="102" t="s">
        <v>11</v>
      </c>
      <c r="BD11" t="s">
        <v>0</v>
      </c>
      <c r="BE11" t="s">
        <v>13</v>
      </c>
      <c r="BF11" t="s">
        <v>14</v>
      </c>
      <c r="BH11" s="9" t="s">
        <v>3</v>
      </c>
      <c r="BI11" t="s">
        <v>13</v>
      </c>
      <c r="BJ11" t="s">
        <v>14</v>
      </c>
      <c r="BL11" t="s">
        <v>15</v>
      </c>
    </row>
    <row r="12" spans="6:72">
      <c r="I12" s="13">
        <f ca="1">+I9</f>
        <v>124875</v>
      </c>
      <c r="AS12">
        <f ca="1">+I12</f>
        <v>124875</v>
      </c>
      <c r="BL12" t="s">
        <v>16</v>
      </c>
      <c r="BQ12">
        <f ca="1">+AS12</f>
        <v>124875</v>
      </c>
      <c r="BR12" s="1">
        <v>0.19</v>
      </c>
      <c r="BS12" t="s">
        <v>17</v>
      </c>
      <c r="BT12" t="s">
        <v>18</v>
      </c>
    </row>
    <row r="13" spans="6:72">
      <c r="G13" s="58"/>
      <c r="H13" s="58"/>
      <c r="I13" s="58">
        <v>2014</v>
      </c>
      <c r="J13" s="58">
        <v>2014</v>
      </c>
      <c r="L13" s="58">
        <v>2014</v>
      </c>
      <c r="M13" s="58">
        <v>2014</v>
      </c>
      <c r="O13" s="14">
        <v>2014</v>
      </c>
      <c r="P13" s="14"/>
      <c r="T13" s="58">
        <v>2014</v>
      </c>
      <c r="U13" s="58">
        <v>2014</v>
      </c>
      <c r="V13" s="58"/>
      <c r="W13" s="14">
        <v>2014</v>
      </c>
      <c r="X13" s="14">
        <v>2014</v>
      </c>
      <c r="AD13" s="90">
        <v>2014</v>
      </c>
      <c r="AE13" s="90">
        <v>2014</v>
      </c>
      <c r="AN13" s="58">
        <v>2014</v>
      </c>
      <c r="AO13" s="58">
        <v>2014</v>
      </c>
    </row>
    <row r="14" spans="6:72">
      <c r="G14" t="s">
        <v>26</v>
      </c>
      <c r="I14" s="64" t="s">
        <v>31</v>
      </c>
      <c r="J14" s="64" t="s">
        <v>31</v>
      </c>
      <c r="L14" s="59" t="s">
        <v>8</v>
      </c>
      <c r="M14" s="59" t="s">
        <v>8</v>
      </c>
      <c r="O14" t="s">
        <v>27</v>
      </c>
      <c r="P14"/>
      <c r="Q14" s="64" t="s">
        <v>31</v>
      </c>
      <c r="R14" s="64" t="s">
        <v>31</v>
      </c>
      <c r="T14" s="59" t="s">
        <v>8</v>
      </c>
      <c r="U14" s="59" t="s">
        <v>8</v>
      </c>
      <c r="V14" s="59"/>
      <c r="W14" s="64" t="s">
        <v>31</v>
      </c>
      <c r="X14" s="64" t="s">
        <v>31</v>
      </c>
      <c r="Z14" s="64" t="s">
        <v>31</v>
      </c>
      <c r="AA14" s="64" t="s">
        <v>31</v>
      </c>
      <c r="AD14" s="91" t="s">
        <v>31</v>
      </c>
      <c r="AE14" s="91" t="s">
        <v>31</v>
      </c>
      <c r="AN14" s="59" t="s">
        <v>8</v>
      </c>
      <c r="AO14" s="59" t="s">
        <v>8</v>
      </c>
      <c r="AQ14" t="s">
        <v>34</v>
      </c>
      <c r="AR14" t="s">
        <v>35</v>
      </c>
      <c r="AS14" t="s">
        <v>36</v>
      </c>
      <c r="AT14" t="s">
        <v>37</v>
      </c>
      <c r="AW14" t="s">
        <v>38</v>
      </c>
      <c r="BA14" s="102" t="s">
        <v>39</v>
      </c>
      <c r="BB14" s="102" t="s">
        <v>40</v>
      </c>
    </row>
    <row r="15" spans="6:72" s="69" customFormat="1" ht="40.5" customHeight="1">
      <c r="I15" s="70" t="s">
        <v>24</v>
      </c>
      <c r="J15" s="70" t="s">
        <v>24</v>
      </c>
      <c r="L15" s="71" t="s">
        <v>24</v>
      </c>
      <c r="M15" s="71" t="s">
        <v>24</v>
      </c>
      <c r="O15" s="72"/>
      <c r="P15" s="72"/>
      <c r="Q15" s="70" t="s">
        <v>25</v>
      </c>
      <c r="R15" s="70" t="s">
        <v>25</v>
      </c>
      <c r="S15" s="73"/>
      <c r="T15" s="74" t="s">
        <v>25</v>
      </c>
      <c r="U15" s="74" t="s">
        <v>25</v>
      </c>
      <c r="W15" s="70" t="s">
        <v>28</v>
      </c>
      <c r="X15" s="70" t="s">
        <v>28</v>
      </c>
      <c r="Z15" s="75" t="s">
        <v>29</v>
      </c>
      <c r="AA15" s="76" t="s">
        <v>32</v>
      </c>
      <c r="AB15" s="76"/>
      <c r="AC15" s="76"/>
      <c r="AD15" s="92" t="s">
        <v>30</v>
      </c>
      <c r="AE15" s="92" t="s">
        <v>30</v>
      </c>
      <c r="AG15" s="70" t="s">
        <v>28</v>
      </c>
      <c r="AH15" s="70" t="s">
        <v>28</v>
      </c>
      <c r="AI15" s="77"/>
      <c r="AJ15" s="77"/>
      <c r="AK15" s="77" t="s">
        <v>32</v>
      </c>
      <c r="AL15" s="77"/>
      <c r="AM15" s="77"/>
      <c r="AN15" s="100" t="s">
        <v>30</v>
      </c>
      <c r="AO15" s="100" t="s">
        <v>30</v>
      </c>
      <c r="AQ15" s="78">
        <v>0.34499999999999997</v>
      </c>
      <c r="AR15" s="78"/>
      <c r="AW15" s="101"/>
      <c r="BA15" s="103"/>
      <c r="BB15" s="103"/>
      <c r="BC15" s="79"/>
      <c r="BH15" s="80"/>
      <c r="BI15" s="81"/>
      <c r="BP15" s="82">
        <v>0.19</v>
      </c>
    </row>
    <row r="16" spans="6:72">
      <c r="G16" s="1"/>
      <c r="H16" s="1"/>
      <c r="O16" s="7"/>
      <c r="P16" s="7"/>
      <c r="Y16">
        <v>0</v>
      </c>
      <c r="Z16" s="18">
        <v>0</v>
      </c>
      <c r="AA16" s="66">
        <v>0</v>
      </c>
      <c r="AB16" s="66"/>
      <c r="AC16" s="66"/>
      <c r="AD16" s="93"/>
      <c r="AE16" s="94"/>
      <c r="AQ16" s="2"/>
      <c r="AR16" s="2"/>
      <c r="BP16" s="1"/>
    </row>
    <row r="17" spans="1:73">
      <c r="Y17">
        <v>1</v>
      </c>
      <c r="Z17" s="18">
        <v>50000</v>
      </c>
      <c r="AA17" s="66">
        <v>0.02</v>
      </c>
      <c r="AB17" s="66"/>
      <c r="AC17">
        <v>1</v>
      </c>
      <c r="AD17" s="93"/>
      <c r="AE17" s="94"/>
    </row>
    <row r="18" spans="1:73">
      <c r="Y18">
        <v>2</v>
      </c>
      <c r="Z18" s="18">
        <f>+Z17+50000</f>
        <v>100000</v>
      </c>
      <c r="AA18" s="66">
        <f>+AA17+1%</f>
        <v>0.03</v>
      </c>
      <c r="AB18" s="66"/>
      <c r="AC18">
        <v>2</v>
      </c>
      <c r="AD18" s="93"/>
      <c r="AE18" s="94"/>
    </row>
    <row r="19" spans="1:73">
      <c r="Y19">
        <v>3</v>
      </c>
      <c r="Z19" s="18">
        <f t="shared" ref="Z19:Z21" si="0">+Z18+50000</f>
        <v>150000</v>
      </c>
      <c r="AA19" s="66">
        <f t="shared" ref="AA19:AA21" si="1">+AA18+1%</f>
        <v>0.04</v>
      </c>
      <c r="AB19" s="66"/>
      <c r="AC19">
        <v>3</v>
      </c>
      <c r="AD19" s="93"/>
      <c r="AE19" s="94"/>
    </row>
    <row r="20" spans="1:73">
      <c r="Y20">
        <v>4</v>
      </c>
      <c r="Z20" s="18">
        <f t="shared" si="0"/>
        <v>200000</v>
      </c>
      <c r="AA20" s="66">
        <f t="shared" si="1"/>
        <v>0.05</v>
      </c>
      <c r="AB20" s="66"/>
      <c r="AC20">
        <v>4</v>
      </c>
      <c r="AD20" s="93"/>
      <c r="AE20" s="94"/>
    </row>
    <row r="21" spans="1:73">
      <c r="A21" t="s">
        <v>71</v>
      </c>
      <c r="B21" t="s">
        <v>73</v>
      </c>
      <c r="C21" t="s">
        <v>73</v>
      </c>
      <c r="X21" t="s">
        <v>1</v>
      </c>
      <c r="Y21">
        <v>5</v>
      </c>
      <c r="Z21" s="18">
        <f t="shared" si="0"/>
        <v>250000</v>
      </c>
      <c r="AA21" s="66">
        <f t="shared" si="1"/>
        <v>6.0000000000000005E-2</v>
      </c>
      <c r="AB21" s="66"/>
      <c r="AC21">
        <v>5</v>
      </c>
      <c r="AD21" s="93"/>
      <c r="AE21" s="94"/>
      <c r="AM21"/>
      <c r="AU21" t="s">
        <v>1</v>
      </c>
    </row>
    <row r="22" spans="1:73">
      <c r="A22" t="s">
        <v>72</v>
      </c>
      <c r="B22" t="s">
        <v>74</v>
      </c>
      <c r="C22" t="s">
        <v>75</v>
      </c>
      <c r="AA22" s="66"/>
      <c r="AB22" s="66"/>
      <c r="AC22"/>
      <c r="AD22" s="93"/>
      <c r="AE22" s="94"/>
      <c r="AM22"/>
    </row>
    <row r="23" spans="1:73">
      <c r="F23">
        <v>0</v>
      </c>
      <c r="I23" s="108"/>
      <c r="Q23" s="107"/>
      <c r="AA23" s="66"/>
      <c r="AB23" s="66"/>
      <c r="AC23"/>
      <c r="AD23" s="93"/>
      <c r="AE23" s="94"/>
      <c r="AM23"/>
      <c r="AS23" s="108"/>
    </row>
    <row r="24" spans="1:73">
      <c r="A24" s="22">
        <f t="shared" ref="A24:A54" ca="1" si="2">+BA24</f>
        <v>49359.375</v>
      </c>
      <c r="B24" s="23">
        <f ca="1">+AN24</f>
        <v>36032.34375</v>
      </c>
      <c r="C24" s="111">
        <f ca="1">+AD24</f>
        <v>49359.375</v>
      </c>
      <c r="F24">
        <v>0</v>
      </c>
      <c r="G24" s="1">
        <v>0</v>
      </c>
      <c r="H24" s="1">
        <f>+SUM($G$24:G24)</f>
        <v>0</v>
      </c>
      <c r="I24">
        <f ca="1">+IF(recap!D12="yes",IF(AND(I4&gt;I3,I3&gt;=0),I12+I4-I3,I12))</f>
        <v>131625</v>
      </c>
      <c r="J24" s="23">
        <f ca="1">+I24*$G$11</f>
        <v>25008.75</v>
      </c>
      <c r="L24" s="21">
        <f t="shared" ref="L24:L29" ca="1" si="3">+I24*(1-$L$9)</f>
        <v>98718.75</v>
      </c>
      <c r="M24" s="56">
        <f t="shared" ref="M24:M28" ca="1" si="4">+L24*$G$11</f>
        <v>18756.5625</v>
      </c>
      <c r="O24" s="8">
        <v>0</v>
      </c>
      <c r="P24" s="8">
        <f>+SUM($O$24:O24)</f>
        <v>0</v>
      </c>
      <c r="Q24" s="60">
        <f ca="1">+IF(recap!D12="yes",IF(AND(I4&gt;I3,I3&gt;=0),I12+I4-I3,I12))</f>
        <v>131625</v>
      </c>
      <c r="R24" s="60">
        <f t="shared" ref="R24:R28" ca="1" si="5">+Q24*$O$11</f>
        <v>20401.875</v>
      </c>
      <c r="T24" s="21">
        <f t="shared" ref="T24:T29" ca="1" si="6">+Q24*(1-$T$9)</f>
        <v>98718.75</v>
      </c>
      <c r="U24" s="56">
        <f t="shared" ref="U24:U28" ca="1" si="7">+T24*$O$11</f>
        <v>15301.40625</v>
      </c>
      <c r="W24" s="22">
        <f t="shared" ref="W24:W28" ca="1" si="8">+R24+J24</f>
        <v>45410.625</v>
      </c>
      <c r="X24" s="104">
        <f t="shared" ref="X24:X28" ca="1" si="9">+W24/$I$12</f>
        <v>0.36364864864864865</v>
      </c>
      <c r="Y24" s="26">
        <f t="shared" ref="Y24:Y28" ca="1" si="10">+IF(ROUNDDOWN(I24/50000,0)&gt;=6,6%,VLOOKUP(ROUNDDOWN(I24/50000,0),$Y$16:$AA$21,3,FALSE))</f>
        <v>0.03</v>
      </c>
      <c r="Z24" s="33">
        <f t="shared" ref="Z24:Z28" ca="1" si="11">+IF(ROUNDDOWN(I24/50000,0)&gt;=6,+Y24*I24,+IF(Y24&lt;2%,0,(IF((((I24/50000)-ROUNDDOWN(I24/50000,0))&gt;0.2),I24*Y24,+I24*Y24-((ROUNDUP(I24/10000,0))*10000-I24)*((Y24*100-1)/20)))))</f>
        <v>3948.75</v>
      </c>
      <c r="AA24" s="67">
        <f t="shared" ref="AA24:AA28" ca="1" si="12">+Z24/I24</f>
        <v>0.03</v>
      </c>
      <c r="AB24" s="66"/>
      <c r="AC24">
        <v>0</v>
      </c>
      <c r="AD24" s="95">
        <f t="shared" ref="AD24:AD53" ca="1" si="13">+IF(Z24+W24&lt;0,0,Z24+W24)</f>
        <v>49359.375</v>
      </c>
      <c r="AE24" s="104">
        <f t="shared" ref="AE24:AE28" ca="1" si="14">+AD24/$I$12</f>
        <v>0.39527027027027029</v>
      </c>
      <c r="AG24" s="83">
        <f t="shared" ref="AG24:AG28" ca="1" si="15">+U24+M24</f>
        <v>34057.96875</v>
      </c>
      <c r="AH24" s="11">
        <f t="shared" ref="AH24:AH28" ca="1" si="16">+AG24/$I$12</f>
        <v>0.27273648648648646</v>
      </c>
      <c r="AI24" s="26">
        <f t="shared" ref="AI24:AI28" ca="1" si="17">+IF(ROUNDDOWN(L24/50000,0)&gt;=6,6%,VLOOKUP(ROUNDDOWN(L24/50000,0),$Y$16:$AA$21,3,FALSE))</f>
        <v>0.02</v>
      </c>
      <c r="AJ24" s="31">
        <f t="shared" ref="AJ24:AJ28" ca="1" si="18">+IF(ROUNDDOWN(L24/50000,0)&gt;=6,+AI24*L24,+IF(AI24&lt;2%,0,(IF((((L24/50000)-ROUNDDOWN(L24/50000,0))&gt;0.2),L24*AI24,+L24*AI24-((ROUNDUP(L24/10000,0))*10000-L24)*((AI24*100-1)/20)))))</f>
        <v>1974.375</v>
      </c>
      <c r="AK24" s="87">
        <f t="shared" ref="AK24:AK28" ca="1" si="19">+AJ24/L24</f>
        <v>0.02</v>
      </c>
      <c r="AM24">
        <v>0</v>
      </c>
      <c r="AN24" s="99">
        <f t="shared" ref="AN24:AN53" ca="1" si="20">+IF(+AJ24+AG24&lt;0,0,+AJ24+AG24)</f>
        <v>36032.34375</v>
      </c>
      <c r="AO24" s="106">
        <f t="shared" ref="AO24:AO28" ca="1" si="21">+AN24/$I$12</f>
        <v>0.28854729729729728</v>
      </c>
      <c r="AS24">
        <f ca="1">+IF(recap!D12="yes",IF(AND(I4&gt;I3,I3&gt;=0),I12+I4-I3,I12))</f>
        <v>131625</v>
      </c>
      <c r="AT24" s="22">
        <f t="shared" ref="AT24:AT28" ca="1" si="22">+AS24*$AQ$15</f>
        <v>45410.625</v>
      </c>
      <c r="AU24" s="20">
        <f t="shared" ref="AU24:AU28" ca="1" si="23">+AT24/$AS$12</f>
        <v>0.36364864864864865</v>
      </c>
      <c r="AV24" s="20">
        <f t="shared" ref="AV24:AV28" ca="1" si="24">+IF(ROUNDDOWN(AS24/50000,0)&gt;=6,6%,VLOOKUP(ROUNDDOWN(AS24/50000,0),$Y$16:$AA$21,3,FALSE))</f>
        <v>0.03</v>
      </c>
      <c r="AW24" s="33">
        <f t="shared" ref="AW24:AW28" ca="1" si="25">+IF(ROUNDDOWN(AS24/50000,0)&gt;=6,+AV24*AS24,+IF(AV24&lt;2%,0,(IF((((AS24/50000)-ROUNDDOWN(AS24/50000,0))&gt;0.2),AS24*AV24,+AS24*AV24-((ROUNDUP(AS24/10000,0))*10000-AS24)*((AV24*100-1)/20)))))</f>
        <v>3948.75</v>
      </c>
      <c r="AX24" s="87">
        <f t="shared" ref="AX24:AX28" ca="1" si="26">+AW24/AS24</f>
        <v>0.03</v>
      </c>
      <c r="AZ24">
        <v>0</v>
      </c>
      <c r="BA24" s="99">
        <f t="shared" ref="BA24:BA53" ca="1" si="27">+IF(+AW24+AT24&lt;0,0,+AW24+AT24)</f>
        <v>49359.375</v>
      </c>
      <c r="BB24" s="106">
        <f t="shared" ref="BB24:BB28" ca="1" si="28">+BA24/$I$12</f>
        <v>0.39527027027027029</v>
      </c>
    </row>
    <row r="25" spans="1:73">
      <c r="A25" s="22">
        <f t="shared" ca="1" si="2"/>
        <v>49359.375</v>
      </c>
      <c r="B25" s="23">
        <f t="shared" ref="B25:B54" ca="1" si="29">+AN25</f>
        <v>36032.34375</v>
      </c>
      <c r="C25" s="111">
        <f t="shared" ref="C25:C54" ca="1" si="30">+AD25</f>
        <v>49359.375</v>
      </c>
      <c r="F25">
        <v>1</v>
      </c>
      <c r="G25" s="1">
        <v>0</v>
      </c>
      <c r="H25" s="1">
        <f>+SUM($G$24:G25)</f>
        <v>0</v>
      </c>
      <c r="I25">
        <f t="shared" ref="I25:I26" ca="1" si="31">+I24</f>
        <v>131625</v>
      </c>
      <c r="J25" s="23">
        <f t="shared" ref="J25:J26" ca="1" si="32">+I25*$G$11</f>
        <v>25008.75</v>
      </c>
      <c r="L25" s="21">
        <f t="shared" ca="1" si="3"/>
        <v>98718.75</v>
      </c>
      <c r="M25" s="56">
        <f t="shared" ref="M25:M26" ca="1" si="33">+L25*$G$11</f>
        <v>18756.5625</v>
      </c>
      <c r="O25" s="8">
        <v>0</v>
      </c>
      <c r="P25" s="8">
        <f>+SUM($O$24:O25)</f>
        <v>0</v>
      </c>
      <c r="Q25" s="60">
        <f t="shared" ref="Q25:Q26" ca="1" si="34">+Q24</f>
        <v>131625</v>
      </c>
      <c r="R25" s="60">
        <f t="shared" ca="1" si="5"/>
        <v>20401.875</v>
      </c>
      <c r="T25" s="21">
        <f t="shared" ca="1" si="6"/>
        <v>98718.75</v>
      </c>
      <c r="U25" s="56">
        <f t="shared" ca="1" si="7"/>
        <v>15301.40625</v>
      </c>
      <c r="W25" s="22">
        <f t="shared" ref="W25:W26" ca="1" si="35">+R25+J25</f>
        <v>45410.625</v>
      </c>
      <c r="X25" s="104">
        <f t="shared" ca="1" si="9"/>
        <v>0.36364864864864865</v>
      </c>
      <c r="Y25" s="26">
        <f t="shared" ref="Y25:Y26" ca="1" si="36">+IF(ROUNDDOWN(I25/50000,0)&gt;=6,6%,VLOOKUP(ROUNDDOWN(I25/50000,0),$Y$16:$AA$21,3,FALSE))</f>
        <v>0.03</v>
      </c>
      <c r="Z25" s="33">
        <f t="shared" ref="Z25:Z26" ca="1" si="37">+IF(ROUNDDOWN(I25/50000,0)&gt;=6,+Y25*I25,+IF(Y25&lt;2%,0,(IF((((I25/50000)-ROUNDDOWN(I25/50000,0))&gt;0.2),I25*Y25,+I25*Y25-((ROUNDUP(I25/10000,0))*10000-I25)*((Y25*100-1)/20)))))</f>
        <v>3948.75</v>
      </c>
      <c r="AA25" s="67">
        <f t="shared" ref="AA25:AA26" ca="1" si="38">+Z25/I25</f>
        <v>0.03</v>
      </c>
      <c r="AB25" s="66"/>
      <c r="AC25">
        <v>1</v>
      </c>
      <c r="AD25" s="95">
        <f t="shared" ref="AD25:AD26" ca="1" si="39">+IF(Z25+W25&lt;0,0,Z25+W25)</f>
        <v>49359.375</v>
      </c>
      <c r="AE25" s="104">
        <f t="shared" ca="1" si="14"/>
        <v>0.39527027027027029</v>
      </c>
      <c r="AG25" s="83">
        <f t="shared" ref="AG25:AG26" ca="1" si="40">+U25+M25</f>
        <v>34057.96875</v>
      </c>
      <c r="AH25" s="11">
        <f t="shared" ca="1" si="16"/>
        <v>0.27273648648648646</v>
      </c>
      <c r="AI25" s="26">
        <f t="shared" ref="AI25:AI26" ca="1" si="41">+IF(ROUNDDOWN(L25/50000,0)&gt;=6,6%,VLOOKUP(ROUNDDOWN(L25/50000,0),$Y$16:$AA$21,3,FALSE))</f>
        <v>0.02</v>
      </c>
      <c r="AJ25" s="31">
        <f t="shared" ref="AJ25:AJ26" ca="1" si="42">+IF(ROUNDDOWN(L25/50000,0)&gt;=6,+AI25*L25,+IF(AI25&lt;2%,0,(IF((((L25/50000)-ROUNDDOWN(L25/50000,0))&gt;0.2),L25*AI25,+L25*AI25-((ROUNDUP(L25/10000,0))*10000-L25)*((AI25*100-1)/20)))))</f>
        <v>1974.375</v>
      </c>
      <c r="AK25" s="87">
        <f t="shared" ref="AK25:AK26" ca="1" si="43">+AJ25/L25</f>
        <v>0.02</v>
      </c>
      <c r="AM25">
        <v>1</v>
      </c>
      <c r="AN25" s="99">
        <f t="shared" ref="AN25:AN26" ca="1" si="44">+IF(+AJ25+AG25&lt;0,0,+AJ25+AG25)</f>
        <v>36032.34375</v>
      </c>
      <c r="AO25" s="106">
        <f t="shared" ca="1" si="21"/>
        <v>0.28854729729729728</v>
      </c>
      <c r="AS25">
        <f t="shared" ref="AS25:AS26" ca="1" si="45">+AS24</f>
        <v>131625</v>
      </c>
      <c r="AT25" s="22">
        <f t="shared" ca="1" si="22"/>
        <v>45410.625</v>
      </c>
      <c r="AU25" s="20">
        <f t="shared" ca="1" si="23"/>
        <v>0.36364864864864865</v>
      </c>
      <c r="AV25" s="20">
        <f t="shared" ref="AV25:AV26" ca="1" si="46">+IF(ROUNDDOWN(AS25/50000,0)&gt;=6,6%,VLOOKUP(ROUNDDOWN(AS25/50000,0),$Y$16:$AA$21,3,FALSE))</f>
        <v>0.03</v>
      </c>
      <c r="AW25" s="33">
        <f t="shared" ref="AW25:AW26" ca="1" si="47">+IF(ROUNDDOWN(AS25/50000,0)&gt;=6,+AV25*AS25,+IF(AV25&lt;2%,0,(IF((((AS25/50000)-ROUNDDOWN(AS25/50000,0))&gt;0.2),AS25*AV25,+AS25*AV25-((ROUNDUP(AS25/10000,0))*10000-AS25)*((AV25*100-1)/20)))))</f>
        <v>3948.75</v>
      </c>
      <c r="AX25" s="87">
        <f t="shared" ref="AX25:AX26" ca="1" si="48">+AW25/AS25</f>
        <v>0.03</v>
      </c>
      <c r="AZ25">
        <v>1</v>
      </c>
      <c r="BA25" s="99">
        <f t="shared" ref="BA25:BA26" ca="1" si="49">+IF(+AW25+AT25&lt;0,0,+AW25+AT25)</f>
        <v>49359.375</v>
      </c>
      <c r="BB25" s="106">
        <f t="shared" ca="1" si="28"/>
        <v>0.39527027027027029</v>
      </c>
    </row>
    <row r="26" spans="1:73">
      <c r="A26" s="22">
        <f t="shared" ca="1" si="2"/>
        <v>49359.375</v>
      </c>
      <c r="B26" s="23">
        <f t="shared" ca="1" si="29"/>
        <v>36032.34375</v>
      </c>
      <c r="C26" s="111">
        <f t="shared" ca="1" si="30"/>
        <v>49359.375</v>
      </c>
      <c r="F26">
        <v>2</v>
      </c>
      <c r="G26" s="1">
        <v>0</v>
      </c>
      <c r="H26" s="1">
        <f>+SUM($G$24:G26)</f>
        <v>0</v>
      </c>
      <c r="I26">
        <f t="shared" ca="1" si="31"/>
        <v>131625</v>
      </c>
      <c r="J26" s="23">
        <f t="shared" ca="1" si="32"/>
        <v>25008.75</v>
      </c>
      <c r="L26" s="21">
        <f t="shared" ca="1" si="3"/>
        <v>98718.75</v>
      </c>
      <c r="M26" s="56">
        <f t="shared" ca="1" si="33"/>
        <v>18756.5625</v>
      </c>
      <c r="O26" s="8">
        <v>0</v>
      </c>
      <c r="P26" s="8">
        <f>+SUM($O$24:O26)</f>
        <v>0</v>
      </c>
      <c r="Q26" s="60">
        <f t="shared" ca="1" si="34"/>
        <v>131625</v>
      </c>
      <c r="R26" s="60">
        <f t="shared" ca="1" si="5"/>
        <v>20401.875</v>
      </c>
      <c r="T26" s="21">
        <f t="shared" ca="1" si="6"/>
        <v>98718.75</v>
      </c>
      <c r="U26" s="56">
        <f t="shared" ca="1" si="7"/>
        <v>15301.40625</v>
      </c>
      <c r="W26" s="22">
        <f t="shared" ca="1" si="35"/>
        <v>45410.625</v>
      </c>
      <c r="X26" s="104">
        <f t="shared" ca="1" si="9"/>
        <v>0.36364864864864865</v>
      </c>
      <c r="Y26" s="26">
        <f t="shared" ca="1" si="36"/>
        <v>0.03</v>
      </c>
      <c r="Z26" s="33">
        <f t="shared" ca="1" si="37"/>
        <v>3948.75</v>
      </c>
      <c r="AA26" s="67">
        <f t="shared" ca="1" si="38"/>
        <v>0.03</v>
      </c>
      <c r="AB26" s="66"/>
      <c r="AC26">
        <v>2</v>
      </c>
      <c r="AD26" s="95">
        <f t="shared" ca="1" si="39"/>
        <v>49359.375</v>
      </c>
      <c r="AE26" s="104">
        <f t="shared" ca="1" si="14"/>
        <v>0.39527027027027029</v>
      </c>
      <c r="AG26" s="83">
        <f t="shared" ca="1" si="40"/>
        <v>34057.96875</v>
      </c>
      <c r="AH26" s="11">
        <f t="shared" ca="1" si="16"/>
        <v>0.27273648648648646</v>
      </c>
      <c r="AI26" s="26">
        <f t="shared" ca="1" si="41"/>
        <v>0.02</v>
      </c>
      <c r="AJ26" s="31">
        <f t="shared" ca="1" si="42"/>
        <v>1974.375</v>
      </c>
      <c r="AK26" s="87">
        <f t="shared" ca="1" si="43"/>
        <v>0.02</v>
      </c>
      <c r="AM26">
        <v>2</v>
      </c>
      <c r="AN26" s="99">
        <f t="shared" ca="1" si="44"/>
        <v>36032.34375</v>
      </c>
      <c r="AO26" s="106">
        <f t="shared" ca="1" si="21"/>
        <v>0.28854729729729728</v>
      </c>
      <c r="AS26">
        <f t="shared" ca="1" si="45"/>
        <v>131625</v>
      </c>
      <c r="AT26" s="22">
        <f t="shared" ca="1" si="22"/>
        <v>45410.625</v>
      </c>
      <c r="AU26" s="20">
        <f t="shared" ca="1" si="23"/>
        <v>0.36364864864864865</v>
      </c>
      <c r="AV26" s="20">
        <f t="shared" ca="1" si="46"/>
        <v>0.03</v>
      </c>
      <c r="AW26" s="33">
        <f t="shared" ca="1" si="47"/>
        <v>3948.75</v>
      </c>
      <c r="AX26" s="87">
        <f t="shared" ca="1" si="48"/>
        <v>0.03</v>
      </c>
      <c r="AZ26">
        <v>2</v>
      </c>
      <c r="BA26" s="99">
        <f t="shared" ca="1" si="49"/>
        <v>49359.375</v>
      </c>
      <c r="BB26" s="106">
        <f t="shared" ca="1" si="28"/>
        <v>0.39527027027027029</v>
      </c>
    </row>
    <row r="27" spans="1:73">
      <c r="A27" s="22">
        <f t="shared" ca="1" si="2"/>
        <v>49359.375</v>
      </c>
      <c r="B27" s="23">
        <f t="shared" ca="1" si="29"/>
        <v>36032.34375</v>
      </c>
      <c r="C27" s="111">
        <f t="shared" ca="1" si="30"/>
        <v>49359.375</v>
      </c>
      <c r="F27">
        <v>3</v>
      </c>
      <c r="G27" s="1">
        <v>0</v>
      </c>
      <c r="H27" s="1">
        <f>+SUM($G$24:G27)</f>
        <v>0</v>
      </c>
      <c r="I27">
        <f ca="1">+I26</f>
        <v>131625</v>
      </c>
      <c r="J27" s="23">
        <f ca="1">+I27*$G$11</f>
        <v>25008.75</v>
      </c>
      <c r="L27" s="21">
        <f t="shared" ca="1" si="3"/>
        <v>98718.75</v>
      </c>
      <c r="M27" s="56">
        <f t="shared" ca="1" si="4"/>
        <v>18756.5625</v>
      </c>
      <c r="O27" s="8">
        <v>0</v>
      </c>
      <c r="P27" s="8">
        <f>+SUM($O$24:O27)</f>
        <v>0</v>
      </c>
      <c r="Q27" s="60">
        <f t="shared" ref="Q27:Q28" ca="1" si="50">+Q26</f>
        <v>131625</v>
      </c>
      <c r="R27" s="60">
        <f t="shared" ca="1" si="5"/>
        <v>20401.875</v>
      </c>
      <c r="T27" s="21">
        <f t="shared" ca="1" si="6"/>
        <v>98718.75</v>
      </c>
      <c r="U27" s="56">
        <f t="shared" ca="1" si="7"/>
        <v>15301.40625</v>
      </c>
      <c r="W27" s="22">
        <f t="shared" ca="1" si="8"/>
        <v>45410.625</v>
      </c>
      <c r="X27" s="104">
        <f t="shared" ca="1" si="9"/>
        <v>0.36364864864864865</v>
      </c>
      <c r="Y27" s="26">
        <f t="shared" ca="1" si="10"/>
        <v>0.03</v>
      </c>
      <c r="Z27" s="33">
        <f t="shared" ca="1" si="11"/>
        <v>3948.75</v>
      </c>
      <c r="AA27" s="67">
        <f t="shared" ca="1" si="12"/>
        <v>0.03</v>
      </c>
      <c r="AB27" s="66"/>
      <c r="AC27">
        <v>3</v>
      </c>
      <c r="AD27" s="95">
        <f t="shared" ca="1" si="13"/>
        <v>49359.375</v>
      </c>
      <c r="AE27" s="104">
        <f t="shared" ca="1" si="14"/>
        <v>0.39527027027027029</v>
      </c>
      <c r="AG27" s="83">
        <f t="shared" ca="1" si="15"/>
        <v>34057.96875</v>
      </c>
      <c r="AH27" s="11">
        <f t="shared" ca="1" si="16"/>
        <v>0.27273648648648646</v>
      </c>
      <c r="AI27" s="26">
        <f t="shared" ca="1" si="17"/>
        <v>0.02</v>
      </c>
      <c r="AJ27" s="31">
        <f t="shared" ca="1" si="18"/>
        <v>1974.375</v>
      </c>
      <c r="AK27" s="87">
        <f t="shared" ca="1" si="19"/>
        <v>0.02</v>
      </c>
      <c r="AM27">
        <v>3</v>
      </c>
      <c r="AN27" s="99">
        <f t="shared" ca="1" si="20"/>
        <v>36032.34375</v>
      </c>
      <c r="AO27" s="106">
        <f t="shared" ca="1" si="21"/>
        <v>0.28854729729729728</v>
      </c>
      <c r="AS27">
        <f t="shared" ref="AS27:AS28" ca="1" si="51">+AS26</f>
        <v>131625</v>
      </c>
      <c r="AT27" s="22">
        <f t="shared" ca="1" si="22"/>
        <v>45410.625</v>
      </c>
      <c r="AU27" s="20">
        <f t="shared" ca="1" si="23"/>
        <v>0.36364864864864865</v>
      </c>
      <c r="AV27" s="20">
        <f t="shared" ca="1" si="24"/>
        <v>0.03</v>
      </c>
      <c r="AW27" s="33">
        <f t="shared" ca="1" si="25"/>
        <v>3948.75</v>
      </c>
      <c r="AX27" s="87">
        <f t="shared" ca="1" si="26"/>
        <v>0.03</v>
      </c>
      <c r="AZ27">
        <v>3</v>
      </c>
      <c r="BA27" s="99">
        <f t="shared" ca="1" si="27"/>
        <v>49359.375</v>
      </c>
      <c r="BB27" s="106">
        <f t="shared" ca="1" si="28"/>
        <v>0.39527027027027029</v>
      </c>
    </row>
    <row r="28" spans="1:73">
      <c r="A28" s="22">
        <f t="shared" ca="1" si="2"/>
        <v>49359.375</v>
      </c>
      <c r="B28" s="23">
        <f t="shared" ca="1" si="29"/>
        <v>36032.34375</v>
      </c>
      <c r="C28" s="111">
        <f t="shared" ca="1" si="30"/>
        <v>49359.375</v>
      </c>
      <c r="F28">
        <v>4</v>
      </c>
      <c r="G28" s="1">
        <v>0</v>
      </c>
      <c r="H28" s="1">
        <f>+SUM($G$24:G28)</f>
        <v>0</v>
      </c>
      <c r="I28">
        <f ca="1">+I27</f>
        <v>131625</v>
      </c>
      <c r="J28" s="23">
        <f ca="1">+I28*$G$11</f>
        <v>25008.75</v>
      </c>
      <c r="L28" s="21">
        <f t="shared" ca="1" si="3"/>
        <v>98718.75</v>
      </c>
      <c r="M28" s="56">
        <f t="shared" ca="1" si="4"/>
        <v>18756.5625</v>
      </c>
      <c r="O28" s="8">
        <v>0</v>
      </c>
      <c r="P28" s="8">
        <f>+SUM($O$24:O28)</f>
        <v>0</v>
      </c>
      <c r="Q28" s="60">
        <f t="shared" ca="1" si="50"/>
        <v>131625</v>
      </c>
      <c r="R28" s="60">
        <f t="shared" ca="1" si="5"/>
        <v>20401.875</v>
      </c>
      <c r="T28" s="21">
        <f t="shared" ca="1" si="6"/>
        <v>98718.75</v>
      </c>
      <c r="U28" s="56">
        <f t="shared" ca="1" si="7"/>
        <v>15301.40625</v>
      </c>
      <c r="W28" s="22">
        <f t="shared" ca="1" si="8"/>
        <v>45410.625</v>
      </c>
      <c r="X28" s="104">
        <f t="shared" ca="1" si="9"/>
        <v>0.36364864864864865</v>
      </c>
      <c r="Y28" s="26">
        <f t="shared" ca="1" si="10"/>
        <v>0.03</v>
      </c>
      <c r="Z28" s="33">
        <f t="shared" ca="1" si="11"/>
        <v>3948.75</v>
      </c>
      <c r="AA28" s="67">
        <f t="shared" ca="1" si="12"/>
        <v>0.03</v>
      </c>
      <c r="AB28" s="66"/>
      <c r="AC28">
        <v>4</v>
      </c>
      <c r="AD28" s="95">
        <f t="shared" ca="1" si="13"/>
        <v>49359.375</v>
      </c>
      <c r="AE28" s="104">
        <f t="shared" ca="1" si="14"/>
        <v>0.39527027027027029</v>
      </c>
      <c r="AG28" s="83">
        <f t="shared" ca="1" si="15"/>
        <v>34057.96875</v>
      </c>
      <c r="AH28" s="11">
        <f t="shared" ca="1" si="16"/>
        <v>0.27273648648648646</v>
      </c>
      <c r="AI28" s="26">
        <f t="shared" ca="1" si="17"/>
        <v>0.02</v>
      </c>
      <c r="AJ28" s="31">
        <f t="shared" ca="1" si="18"/>
        <v>1974.375</v>
      </c>
      <c r="AK28" s="87">
        <f t="shared" ca="1" si="19"/>
        <v>0.02</v>
      </c>
      <c r="AM28">
        <v>4</v>
      </c>
      <c r="AN28" s="99">
        <f t="shared" ca="1" si="20"/>
        <v>36032.34375</v>
      </c>
      <c r="AO28" s="106">
        <f t="shared" ca="1" si="21"/>
        <v>0.28854729729729728</v>
      </c>
      <c r="AS28">
        <f t="shared" ca="1" si="51"/>
        <v>131625</v>
      </c>
      <c r="AT28" s="22">
        <f t="shared" ca="1" si="22"/>
        <v>45410.625</v>
      </c>
      <c r="AU28" s="20">
        <f t="shared" ca="1" si="23"/>
        <v>0.36364864864864865</v>
      </c>
      <c r="AV28" s="20">
        <f t="shared" ca="1" si="24"/>
        <v>0.03</v>
      </c>
      <c r="AW28" s="33">
        <f t="shared" ca="1" si="25"/>
        <v>3948.75</v>
      </c>
      <c r="AX28" s="87">
        <f t="shared" ca="1" si="26"/>
        <v>0.03</v>
      </c>
      <c r="AZ28">
        <v>4</v>
      </c>
      <c r="BA28" s="99">
        <f t="shared" ca="1" si="27"/>
        <v>49359.375</v>
      </c>
      <c r="BB28" s="106">
        <f t="shared" ca="1" si="28"/>
        <v>0.39527027027027029</v>
      </c>
    </row>
    <row r="29" spans="1:73">
      <c r="A29" s="22">
        <f t="shared" ca="1" si="2"/>
        <v>46828.125</v>
      </c>
      <c r="B29" s="23">
        <f t="shared" ca="1" si="29"/>
        <v>34184.53125</v>
      </c>
      <c r="C29" s="111">
        <f t="shared" ca="1" si="30"/>
        <v>46828.125</v>
      </c>
      <c r="F29">
        <v>5</v>
      </c>
      <c r="G29" s="1">
        <v>0</v>
      </c>
      <c r="H29" s="1">
        <f>+SUM($G$24:G29)</f>
        <v>0</v>
      </c>
      <c r="I29">
        <f ca="1">+$I$12*(1-G29)</f>
        <v>124875</v>
      </c>
      <c r="J29" s="23">
        <f t="shared" ref="J29:J54" ca="1" si="52">+I29*$G$11</f>
        <v>23726.25</v>
      </c>
      <c r="L29" s="21">
        <f t="shared" ca="1" si="3"/>
        <v>93656.25</v>
      </c>
      <c r="M29" s="56">
        <f t="shared" ref="M29:M46" ca="1" si="53">+L29*$G$11</f>
        <v>17794.6875</v>
      </c>
      <c r="O29" s="8">
        <v>0</v>
      </c>
      <c r="P29" s="8">
        <f>+SUM($O$24:O29)</f>
        <v>0</v>
      </c>
      <c r="Q29" s="60">
        <f ca="1">+$I$12*(1-O29)</f>
        <v>124875</v>
      </c>
      <c r="R29" s="60">
        <f ca="1">+Q29*$O$11</f>
        <v>19355.625</v>
      </c>
      <c r="T29" s="21">
        <f t="shared" ca="1" si="6"/>
        <v>93656.25</v>
      </c>
      <c r="U29" s="56">
        <f ca="1">+T29*$O$11</f>
        <v>14516.71875</v>
      </c>
      <c r="V29" s="56"/>
      <c r="W29" s="22">
        <f ca="1">+R29+J29</f>
        <v>43081.875</v>
      </c>
      <c r="X29" s="20">
        <f ca="1">+W29/$I$12</f>
        <v>0.34499999999999997</v>
      </c>
      <c r="Y29" s="26">
        <f ca="1">+IF(ROUNDDOWN(I29/50000,0)&gt;=6,6%,VLOOKUP(ROUNDDOWN(I29/50000,0),$Y$16:$AA$21,3,FALSE))</f>
        <v>0.03</v>
      </c>
      <c r="Z29" s="33">
        <f t="shared" ref="Z29:Z42" ca="1" si="54">+IF(ROUNDDOWN(I29/50000,0)&gt;=6,+Y29*I29,+IF(Y29&lt;2%,0,(IF((((I29/50000)-ROUNDDOWN(I29/50000,0))&gt;0.2),I29*Y29,+I29*Y29-((ROUNDUP(I29/10000,0))*10000-I29)*((Y29*100-1)/20)))))</f>
        <v>3746.25</v>
      </c>
      <c r="AA29" s="67">
        <f ca="1">+Z29/I29</f>
        <v>0.03</v>
      </c>
      <c r="AB29" s="66"/>
      <c r="AC29">
        <v>5</v>
      </c>
      <c r="AD29" s="95">
        <f t="shared" ca="1" si="13"/>
        <v>46828.125</v>
      </c>
      <c r="AE29" s="96">
        <f ca="1">+AD29/$I$12</f>
        <v>0.375</v>
      </c>
      <c r="AG29" s="83">
        <f t="shared" ref="AG29:AG54" ca="1" si="55">+U29+M29</f>
        <v>32311.40625</v>
      </c>
      <c r="AH29" s="11">
        <f ca="1">+AG29/$I$12</f>
        <v>0.25874999999999998</v>
      </c>
      <c r="AI29" s="26">
        <f ca="1">+IF(ROUNDDOWN(L29/50000,0)&gt;=6,6%,VLOOKUP(ROUNDDOWN(L29/50000,0),$Y$16:$AA$21,3,FALSE))</f>
        <v>0.02</v>
      </c>
      <c r="AJ29" s="31">
        <f t="shared" ref="AJ29:AJ42" ca="1" si="56">+IF(ROUNDDOWN(L29/50000,0)&gt;=6,+AI29*L29,+IF(AI29&lt;2%,0,(IF((((L29/50000)-ROUNDDOWN(L29/50000,0))&gt;0.2),L29*AI29,+L29*AI29-((ROUNDUP(L29/10000,0))*10000-L29)*((AI29*100-1)/20)))))</f>
        <v>1873.125</v>
      </c>
      <c r="AK29" s="87">
        <f ca="1">+AJ29/L29</f>
        <v>0.02</v>
      </c>
      <c r="AL29" s="33"/>
      <c r="AM29">
        <v>5</v>
      </c>
      <c r="AN29" s="99">
        <f t="shared" ca="1" si="20"/>
        <v>34184.53125</v>
      </c>
      <c r="AO29" s="97">
        <f ca="1">+AN29/$I$12</f>
        <v>0.27374999999999999</v>
      </c>
      <c r="AQ29" s="1">
        <v>0</v>
      </c>
      <c r="AR29" s="1"/>
      <c r="AS29" s="22">
        <f ca="1">+$I$12*(1-AQ29)</f>
        <v>124875</v>
      </c>
      <c r="AT29" s="22">
        <f ca="1">+AS29*$AQ$15</f>
        <v>43081.875</v>
      </c>
      <c r="AU29" s="20">
        <f ca="1">+AT29/$AS$12</f>
        <v>0.34499999999999997</v>
      </c>
      <c r="AV29" s="20">
        <f ca="1">+IF(ROUNDDOWN(AS29/50000,0)&gt;=6,6%,VLOOKUP(ROUNDDOWN(AS29/50000,0),$Y$16:$AA$21,3,FALSE))</f>
        <v>0.03</v>
      </c>
      <c r="AW29" s="33">
        <f ca="1">+IF(ROUNDDOWN(AS29/50000,0)&gt;=6,+AV29*AS29,+IF(AV29&lt;2%,0,(IF((((AS29/50000)-ROUNDDOWN(AS29/50000,0))&gt;0.2),AS29*AV29,+AS29*AV29-((ROUNDUP(AS29/10000,0))*10000-AS29)*((AV29*100-1)/20)))))</f>
        <v>3746.25</v>
      </c>
      <c r="AX29" s="87">
        <f ca="1">+AW29/AS29</f>
        <v>0.03</v>
      </c>
      <c r="AY29" s="87"/>
      <c r="AZ29">
        <v>5</v>
      </c>
      <c r="BA29" s="99">
        <f t="shared" ca="1" si="27"/>
        <v>46828.125</v>
      </c>
      <c r="BB29" s="97">
        <f ca="1">+BA29/$I$12</f>
        <v>0.375</v>
      </c>
      <c r="BD29" s="22">
        <f t="shared" ref="BD29:BD54" ca="1" si="57">+AD29-BA29</f>
        <v>0</v>
      </c>
      <c r="BE29" s="25">
        <f t="shared" ref="BE29:BE54" ca="1" si="58">+AE29-BB29</f>
        <v>0</v>
      </c>
      <c r="BF29" s="4">
        <f t="shared" ref="BF29:BF53" ca="1" si="59">+BD29/BA29</f>
        <v>0</v>
      </c>
    </row>
    <row r="30" spans="1:73">
      <c r="A30" s="22">
        <f t="shared" ca="1" si="2"/>
        <v>45891.562499999993</v>
      </c>
      <c r="B30" s="23">
        <f t="shared" ca="1" si="29"/>
        <v>32764.936640624997</v>
      </c>
      <c r="C30" s="111">
        <f t="shared" ca="1" si="30"/>
        <v>44860.407187500001</v>
      </c>
      <c r="F30">
        <v>6</v>
      </c>
      <c r="G30" s="1">
        <v>0.06</v>
      </c>
      <c r="H30" s="1">
        <f>+SUM($G$24:G30)</f>
        <v>0.06</v>
      </c>
      <c r="I30">
        <f ca="1">+$I$12*(1-G30)</f>
        <v>117382.5</v>
      </c>
      <c r="J30" s="23">
        <f t="shared" ca="1" si="52"/>
        <v>22302.674999999999</v>
      </c>
      <c r="L30" s="21">
        <f t="shared" ref="L30:L54" ca="1" si="60">+I30*(1-$L$9)</f>
        <v>88036.875</v>
      </c>
      <c r="M30" s="56">
        <f t="shared" ca="1" si="53"/>
        <v>16727.006249999999</v>
      </c>
      <c r="O30" s="7">
        <v>1.6500000000000001E-2</v>
      </c>
      <c r="P30" s="8">
        <f>+SUM($O$24:O30)</f>
        <v>1.6500000000000001E-2</v>
      </c>
      <c r="Q30" s="60">
        <f ca="1">+$I$12*(1-O30)</f>
        <v>122814.5625</v>
      </c>
      <c r="R30" s="60">
        <f ca="1">+Q30*$O$11</f>
        <v>19036.257187499999</v>
      </c>
      <c r="T30" s="21">
        <f t="shared" ref="T30:T54" ca="1" si="61">+Q30*(1-$T$9)</f>
        <v>92110.921875</v>
      </c>
      <c r="U30" s="56">
        <f ca="1">+T30*$O$11</f>
        <v>14277.192890625</v>
      </c>
      <c r="V30" s="56"/>
      <c r="W30" s="22">
        <f ca="1">+R30+J30</f>
        <v>41338.932187500002</v>
      </c>
      <c r="X30" s="20">
        <f ca="1">+W30/$I$12</f>
        <v>0.33104250000000002</v>
      </c>
      <c r="Y30" s="26">
        <f t="shared" ref="Y30:Y54" ca="1" si="62">+IF(ROUNDDOWN(I30/50000,0)&gt;=6,6%,VLOOKUP(ROUNDDOWN(I30/50000,0),$Y$16:$AA$21,3,FALSE))</f>
        <v>0.03</v>
      </c>
      <c r="Z30" s="33">
        <f t="shared" ca="1" si="54"/>
        <v>3521.4749999999999</v>
      </c>
      <c r="AA30" s="67">
        <f t="shared" ref="AA30:AA54" ca="1" si="63">+Z30/I30</f>
        <v>0.03</v>
      </c>
      <c r="AB30" s="55"/>
      <c r="AC30">
        <v>6</v>
      </c>
      <c r="AD30" s="95">
        <f t="shared" ca="1" si="13"/>
        <v>44860.407187500001</v>
      </c>
      <c r="AE30" s="96">
        <f t="shared" ref="AE30:AE54" ca="1" si="64">+AD30/$I$12</f>
        <v>0.35924250000000002</v>
      </c>
      <c r="AF30" s="4"/>
      <c r="AG30" s="83">
        <f t="shared" ca="1" si="55"/>
        <v>31004.199140624998</v>
      </c>
      <c r="AH30" s="11">
        <f ca="1">+AG30/$I$12</f>
        <v>0.24828187499999999</v>
      </c>
      <c r="AI30" s="26">
        <f t="shared" ref="AI30:AI54" ca="1" si="65">+IF(ROUNDDOWN(L30/50000,0)&gt;=6,6%,VLOOKUP(ROUNDDOWN(L30/50000,0),$Y$16:$AA$21,3,FALSE))</f>
        <v>0.02</v>
      </c>
      <c r="AJ30" s="31">
        <f t="shared" ca="1" si="56"/>
        <v>1760.7375</v>
      </c>
      <c r="AK30" s="87">
        <f t="shared" ref="AK30:AK54" ca="1" si="66">+AJ30/L30</f>
        <v>0.02</v>
      </c>
      <c r="AL30" s="33"/>
      <c r="AM30">
        <v>6</v>
      </c>
      <c r="AN30" s="99">
        <f t="shared" ca="1" si="20"/>
        <v>32764.936640624997</v>
      </c>
      <c r="AO30" s="97">
        <f t="shared" ref="AO30:AO54" ca="1" si="67">+AN30/$I$12</f>
        <v>0.26238187499999999</v>
      </c>
      <c r="AP30" s="4"/>
      <c r="AQ30" s="1">
        <v>0.02</v>
      </c>
      <c r="AR30" s="1">
        <f>+SUM($AQ$29:AQ30)</f>
        <v>0.02</v>
      </c>
      <c r="AS30" s="22">
        <f ca="1">+$I$12*(1-AQ30)</f>
        <v>122377.5</v>
      </c>
      <c r="AT30" s="22">
        <f ca="1">+AS30*$AQ$15</f>
        <v>42220.237499999996</v>
      </c>
      <c r="AU30" s="20">
        <f ca="1">+AT30/$AS$12</f>
        <v>0.33809999999999996</v>
      </c>
      <c r="AV30" s="20">
        <f t="shared" ref="AV30:AV54" ca="1" si="68">+IF(ROUNDDOWN(AS30/50000,0)&gt;=6,6%,VLOOKUP(ROUNDDOWN(AS30/50000,0),$Y$16:$AA$21,3,FALSE))</f>
        <v>0.03</v>
      </c>
      <c r="AW30" s="33">
        <f t="shared" ref="AW30:AW54" ca="1" si="69">+IF(ROUNDDOWN(AS30/50000,0)&gt;=6,+AV30*AS30,+IF(AV30&lt;2%,0,(IF((((AS30/50000)-ROUNDDOWN(AS30/50000,0))&gt;0.2),AS30*AV30,+AS30*AV30-((ROUNDUP(AS30/10000,0))*10000-AS30)*((AV30*100-1)/20)))))</f>
        <v>3671.3249999999998</v>
      </c>
      <c r="AX30" s="87">
        <f t="shared" ref="AX30:AX54" ca="1" si="70">+AW30/AS30</f>
        <v>0.03</v>
      </c>
      <c r="AY30" s="87"/>
      <c r="AZ30">
        <v>6</v>
      </c>
      <c r="BA30" s="99">
        <f t="shared" ca="1" si="27"/>
        <v>45891.562499999993</v>
      </c>
      <c r="BB30" s="97">
        <f ca="1">+BA30/$I$12</f>
        <v>0.36749999999999994</v>
      </c>
      <c r="BC30" s="20"/>
      <c r="BD30" s="22">
        <f t="shared" ca="1" si="57"/>
        <v>-1031.1553124999919</v>
      </c>
      <c r="BE30" s="25">
        <f t="shared" ca="1" si="58"/>
        <v>-8.2574999999999177E-3</v>
      </c>
      <c r="BF30" s="4">
        <f t="shared" ca="1" si="59"/>
        <v>-2.2469387755101867E-2</v>
      </c>
      <c r="BG30" s="25"/>
      <c r="BH30" s="10">
        <f t="shared" ref="BH30:BH54" ca="1" si="71">+AN30-BA30</f>
        <v>-13126.625859374995</v>
      </c>
      <c r="BI30" s="12">
        <f t="shared" ref="BI30:BI54" ca="1" si="72">+AO30-BB30</f>
        <v>-0.10511812499999995</v>
      </c>
      <c r="BJ30" s="26">
        <f t="shared" ref="BJ30:BJ53" ca="1" si="73">+BH30/BA30</f>
        <v>-0.28603571428571423</v>
      </c>
      <c r="BK30" s="26"/>
      <c r="BL30" s="3">
        <f ca="1">+BH30-BD30</f>
        <v>-12095.470546875003</v>
      </c>
      <c r="BQ30">
        <f ca="1">+AS30</f>
        <v>122377.5</v>
      </c>
      <c r="BR30" s="23">
        <f ca="1">+AS30*$BP$15</f>
        <v>23251.724999999999</v>
      </c>
      <c r="BS30" s="23">
        <f ca="1">+AW30</f>
        <v>3671.3249999999998</v>
      </c>
      <c r="BT30" s="23">
        <f ca="1">+BS30+BR30</f>
        <v>26923.05</v>
      </c>
      <c r="BU30" s="25">
        <f t="shared" ref="BU30:BU54" ca="1" si="74">+(BT30-J30)/BT30</f>
        <v>0.17161410018552875</v>
      </c>
    </row>
    <row r="31" spans="1:73">
      <c r="A31" s="22">
        <f t="shared" ca="1" si="2"/>
        <v>44955</v>
      </c>
      <c r="B31" s="23">
        <f t="shared" ca="1" si="29"/>
        <v>31345.342031249998</v>
      </c>
      <c r="C31" s="111">
        <f t="shared" ca="1" si="30"/>
        <v>42881.689374999994</v>
      </c>
      <c r="F31">
        <v>7</v>
      </c>
      <c r="G31" s="1">
        <v>0.06</v>
      </c>
      <c r="H31" s="1">
        <f>+SUM($G$24:G31)</f>
        <v>0.12</v>
      </c>
      <c r="I31">
        <f ca="1">+$I$12*(1-SUM(G$30:G31))</f>
        <v>109890</v>
      </c>
      <c r="J31" s="23">
        <f t="shared" ca="1" si="52"/>
        <v>20879.099999999999</v>
      </c>
      <c r="L31" s="21">
        <f t="shared" ca="1" si="60"/>
        <v>82417.5</v>
      </c>
      <c r="M31" s="21">
        <f t="shared" ca="1" si="53"/>
        <v>15659.325000000001</v>
      </c>
      <c r="O31" s="7">
        <v>1.6500000000000001E-2</v>
      </c>
      <c r="P31" s="8">
        <f>+SUM($O$24:O31)</f>
        <v>3.3000000000000002E-2</v>
      </c>
      <c r="Q31" s="60">
        <f ca="1">+$I$12*(1-SUM(O$30:O31))</f>
        <v>120754.125</v>
      </c>
      <c r="R31" s="60">
        <f t="shared" ref="R31:R54" ca="1" si="75">+Q31*$O$11</f>
        <v>18716.889374999999</v>
      </c>
      <c r="T31" s="21">
        <f t="shared" ca="1" si="61"/>
        <v>90565.59375</v>
      </c>
      <c r="U31" s="29">
        <f t="shared" ref="U31:U54" ca="1" si="76">+T31*$O$11</f>
        <v>14037.667031249999</v>
      </c>
      <c r="V31" s="29"/>
      <c r="W31" s="22">
        <f t="shared" ref="W31:W54" ca="1" si="77">+R31+J31</f>
        <v>39595.989374999997</v>
      </c>
      <c r="X31" s="20">
        <f t="shared" ref="X31:X54" ca="1" si="78">+W31/$I$12</f>
        <v>0.31708500000000001</v>
      </c>
      <c r="Y31" s="26">
        <f t="shared" ca="1" si="62"/>
        <v>0.03</v>
      </c>
      <c r="Z31" s="33">
        <f t="shared" ca="1" si="54"/>
        <v>3285.7</v>
      </c>
      <c r="AA31" s="67">
        <f t="shared" ca="1" si="63"/>
        <v>2.9899899899899898E-2</v>
      </c>
      <c r="AB31" s="68"/>
      <c r="AC31">
        <v>7</v>
      </c>
      <c r="AD31" s="95">
        <f t="shared" ca="1" si="13"/>
        <v>42881.689374999994</v>
      </c>
      <c r="AE31" s="96">
        <f t="shared" ca="1" si="64"/>
        <v>0.34339691191191185</v>
      </c>
      <c r="AF31" s="4"/>
      <c r="AG31" s="84">
        <f t="shared" ca="1" si="55"/>
        <v>29696.99203125</v>
      </c>
      <c r="AH31" s="11">
        <f t="shared" ref="AH31:AH54" ca="1" si="79">+AG31/$I$12</f>
        <v>0.23781374999999999</v>
      </c>
      <c r="AI31" s="26">
        <f t="shared" ca="1" si="65"/>
        <v>0.02</v>
      </c>
      <c r="AJ31" s="31">
        <f t="shared" ca="1" si="56"/>
        <v>1648.3500000000001</v>
      </c>
      <c r="AK31" s="87">
        <f t="shared" ca="1" si="66"/>
        <v>0.02</v>
      </c>
      <c r="AL31" s="33">
        <f ca="1">5%*L31-(210000-L31)*(20/100)</f>
        <v>-21395.625</v>
      </c>
      <c r="AM31">
        <v>7</v>
      </c>
      <c r="AN31" s="99">
        <f t="shared" ca="1" si="20"/>
        <v>31345.342031249998</v>
      </c>
      <c r="AO31" s="97">
        <f t="shared" ca="1" si="67"/>
        <v>0.25101374999999998</v>
      </c>
      <c r="AP31" s="4"/>
      <c r="AQ31" s="1">
        <v>0.02</v>
      </c>
      <c r="AR31" s="1">
        <f>+SUM($AQ$29:AQ31)</f>
        <v>0.04</v>
      </c>
      <c r="AS31" s="22">
        <f ca="1">+$I$12*(1-SUM(AQ$30:AQ31))</f>
        <v>119880</v>
      </c>
      <c r="AT31" s="22">
        <f t="shared" ref="AT31:AT54" ca="1" si="80">+AS31*$AQ$15</f>
        <v>41358.6</v>
      </c>
      <c r="AU31" s="20">
        <f t="shared" ref="AU31:AU54" ca="1" si="81">+AT31/$AS$12</f>
        <v>0.33119999999999999</v>
      </c>
      <c r="AV31" s="20">
        <f t="shared" ca="1" si="68"/>
        <v>0.03</v>
      </c>
      <c r="AW31" s="33">
        <f t="shared" ca="1" si="69"/>
        <v>3596.4</v>
      </c>
      <c r="AX31" s="87">
        <f t="shared" ca="1" si="70"/>
        <v>3.0000000000000002E-2</v>
      </c>
      <c r="AY31" s="87"/>
      <c r="AZ31">
        <v>7</v>
      </c>
      <c r="BA31" s="99">
        <f t="shared" ca="1" si="27"/>
        <v>44955</v>
      </c>
      <c r="BB31" s="97">
        <f t="shared" ref="BB31:BB54" ca="1" si="82">+BA31/$I$12</f>
        <v>0.36</v>
      </c>
      <c r="BC31" s="20"/>
      <c r="BD31" s="22">
        <f t="shared" ca="1" si="57"/>
        <v>-2073.3106250000055</v>
      </c>
      <c r="BE31" s="25">
        <f t="shared" ca="1" si="58"/>
        <v>-1.6603088088088136E-2</v>
      </c>
      <c r="BF31" s="4">
        <f t="shared" ca="1" si="59"/>
        <v>-4.6119689133578147E-2</v>
      </c>
      <c r="BG31" s="25"/>
      <c r="BH31" s="10">
        <f t="shared" ca="1" si="71"/>
        <v>-13609.657968750002</v>
      </c>
      <c r="BI31" s="12">
        <f t="shared" ca="1" si="72"/>
        <v>-0.10898625000000001</v>
      </c>
      <c r="BJ31" s="26">
        <f t="shared" ca="1" si="73"/>
        <v>-0.3027395833333334</v>
      </c>
      <c r="BK31" s="26"/>
      <c r="BL31" s="3">
        <f t="shared" ref="BL31:BL53" ca="1" si="83">+BH31-BD31</f>
        <v>-11536.347343749996</v>
      </c>
      <c r="BR31" s="23">
        <f t="shared" ref="BR31:BR54" ca="1" si="84">+AS31*$BP$15</f>
        <v>22777.200000000001</v>
      </c>
      <c r="BS31" s="23">
        <f t="shared" ref="BS31:BS54" ca="1" si="85">+AW31</f>
        <v>3596.4</v>
      </c>
      <c r="BT31" s="23">
        <f t="shared" ref="BT31:BT54" ca="1" si="86">+BS31+BR31</f>
        <v>26373.600000000002</v>
      </c>
      <c r="BU31" s="25">
        <f t="shared" ca="1" si="74"/>
        <v>0.20833333333333345</v>
      </c>
    </row>
    <row r="32" spans="1:73">
      <c r="A32" s="22">
        <f t="shared" ca="1" si="2"/>
        <v>44018.437499999993</v>
      </c>
      <c r="B32" s="23">
        <f t="shared" ca="1" si="29"/>
        <v>29925.747421875007</v>
      </c>
      <c r="C32" s="111">
        <f t="shared" ca="1" si="30"/>
        <v>40164.721562500003</v>
      </c>
      <c r="F32">
        <v>8</v>
      </c>
      <c r="G32" s="1">
        <v>0.06</v>
      </c>
      <c r="H32" s="1">
        <f>+SUM($G$24:G32)</f>
        <v>0.18</v>
      </c>
      <c r="I32">
        <f ca="1">+$I$12*(1-SUM(G$30:G32))</f>
        <v>102397.50000000001</v>
      </c>
      <c r="J32" s="23">
        <f t="shared" ca="1" si="52"/>
        <v>19455.525000000001</v>
      </c>
      <c r="L32" s="21">
        <f t="shared" ca="1" si="60"/>
        <v>76798.125000000015</v>
      </c>
      <c r="M32" s="21">
        <f t="shared" ca="1" si="53"/>
        <v>14591.643750000003</v>
      </c>
      <c r="O32" s="7">
        <v>1.6500000000000001E-2</v>
      </c>
      <c r="P32" s="8">
        <f>+SUM($O$24:O32)</f>
        <v>4.9500000000000002E-2</v>
      </c>
      <c r="Q32" s="60">
        <f ca="1">+$I$12*(1-SUM(O$30:O32))</f>
        <v>118693.6875</v>
      </c>
      <c r="R32" s="60">
        <f t="shared" ca="1" si="75"/>
        <v>18397.521562499998</v>
      </c>
      <c r="T32" s="21">
        <f t="shared" ca="1" si="61"/>
        <v>89020.265625</v>
      </c>
      <c r="U32" s="62">
        <f t="shared" ca="1" si="76"/>
        <v>13798.141171875001</v>
      </c>
      <c r="V32" s="62"/>
      <c r="W32" s="22">
        <f t="shared" ca="1" si="77"/>
        <v>37853.0465625</v>
      </c>
      <c r="X32" s="20">
        <f t="shared" ca="1" si="78"/>
        <v>0.30312749999999999</v>
      </c>
      <c r="Y32" s="26">
        <f t="shared" ca="1" si="62"/>
        <v>0.03</v>
      </c>
      <c r="Z32" s="33">
        <f t="shared" ca="1" si="54"/>
        <v>2311.6750000000015</v>
      </c>
      <c r="AA32" s="67">
        <f t="shared" ca="1" si="63"/>
        <v>2.2575502331599905E-2</v>
      </c>
      <c r="AB32" s="55"/>
      <c r="AC32">
        <v>8</v>
      </c>
      <c r="AD32" s="95">
        <f t="shared" ca="1" si="13"/>
        <v>40164.721562500003</v>
      </c>
      <c r="AE32" s="96">
        <f t="shared" ca="1" si="64"/>
        <v>0.32163941191191192</v>
      </c>
      <c r="AF32" s="4"/>
      <c r="AG32" s="84">
        <f t="shared" ca="1" si="55"/>
        <v>28389.784921875005</v>
      </c>
      <c r="AH32" s="11">
        <f t="shared" ca="1" si="79"/>
        <v>0.22734562500000005</v>
      </c>
      <c r="AI32" s="26">
        <f t="shared" ca="1" si="65"/>
        <v>0.02</v>
      </c>
      <c r="AJ32" s="31">
        <f t="shared" ca="1" si="56"/>
        <v>1535.9625000000003</v>
      </c>
      <c r="AK32" s="87">
        <f t="shared" ca="1" si="66"/>
        <v>0.02</v>
      </c>
      <c r="AL32" s="33"/>
      <c r="AM32">
        <v>8</v>
      </c>
      <c r="AN32" s="99">
        <f t="shared" ca="1" si="20"/>
        <v>29925.747421875007</v>
      </c>
      <c r="AO32" s="97">
        <f t="shared" ca="1" si="67"/>
        <v>0.23964562500000006</v>
      </c>
      <c r="AP32" s="4"/>
      <c r="AQ32" s="1">
        <v>0.02</v>
      </c>
      <c r="AR32" s="1">
        <f>+SUM($AQ$29:AQ32)</f>
        <v>0.06</v>
      </c>
      <c r="AS32" s="22">
        <f ca="1">+$I$12*(1-SUM(AQ$30:AQ32))</f>
        <v>117382.5</v>
      </c>
      <c r="AT32" s="22">
        <f t="shared" ca="1" si="80"/>
        <v>40496.962499999994</v>
      </c>
      <c r="AU32" s="20">
        <f t="shared" ca="1" si="81"/>
        <v>0.32429999999999998</v>
      </c>
      <c r="AV32" s="20">
        <f t="shared" ca="1" si="68"/>
        <v>0.03</v>
      </c>
      <c r="AW32" s="33">
        <f t="shared" ca="1" si="69"/>
        <v>3521.4749999999999</v>
      </c>
      <c r="AX32" s="87">
        <f t="shared" ca="1" si="70"/>
        <v>0.03</v>
      </c>
      <c r="AY32" s="87"/>
      <c r="AZ32">
        <v>8</v>
      </c>
      <c r="BA32" s="99">
        <f t="shared" ca="1" si="27"/>
        <v>44018.437499999993</v>
      </c>
      <c r="BB32" s="97">
        <f t="shared" ca="1" si="82"/>
        <v>0.35249999999999992</v>
      </c>
      <c r="BC32" s="20"/>
      <c r="BD32" s="22">
        <f t="shared" ca="1" si="57"/>
        <v>-3853.7159374999901</v>
      </c>
      <c r="BE32" s="25">
        <f t="shared" ca="1" si="58"/>
        <v>-3.0860588088088003E-2</v>
      </c>
      <c r="BF32" s="4">
        <f t="shared" ca="1" si="59"/>
        <v>-8.7547767625781606E-2</v>
      </c>
      <c r="BG32" s="25"/>
      <c r="BH32" s="10">
        <f t="shared" ca="1" si="71"/>
        <v>-14092.690078124986</v>
      </c>
      <c r="BI32" s="12">
        <f t="shared" ca="1" si="72"/>
        <v>-0.11285437499999987</v>
      </c>
      <c r="BJ32" s="26">
        <f t="shared" ca="1" si="73"/>
        <v>-0.32015425531914865</v>
      </c>
      <c r="BK32" s="26"/>
      <c r="BL32" s="3">
        <f t="shared" ca="1" si="83"/>
        <v>-10238.974140624996</v>
      </c>
      <c r="BR32" s="23">
        <f t="shared" ca="1" si="84"/>
        <v>22302.674999999999</v>
      </c>
      <c r="BS32" s="23">
        <f t="shared" ca="1" si="85"/>
        <v>3521.4749999999999</v>
      </c>
      <c r="BT32" s="23">
        <f t="shared" ca="1" si="86"/>
        <v>25824.149999999998</v>
      </c>
      <c r="BU32" s="25">
        <f t="shared" ca="1" si="74"/>
        <v>0.24661508704061882</v>
      </c>
    </row>
    <row r="33" spans="1:73">
      <c r="A33" s="22">
        <f t="shared" ca="1" si="2"/>
        <v>43081.875</v>
      </c>
      <c r="B33" s="23">
        <f t="shared" ca="1" si="29"/>
        <v>28506.1528125</v>
      </c>
      <c r="C33" s="111">
        <f t="shared" ca="1" si="30"/>
        <v>38008.203749999993</v>
      </c>
      <c r="F33">
        <v>9</v>
      </c>
      <c r="G33" s="1">
        <v>0.06</v>
      </c>
      <c r="H33" s="1">
        <f>+SUM($G$24:G33)</f>
        <v>0.24</v>
      </c>
      <c r="I33">
        <f ca="1">+$I$12*(1-SUM(G$30:G33))</f>
        <v>94905</v>
      </c>
      <c r="J33" s="23">
        <f t="shared" ca="1" si="52"/>
        <v>18031.95</v>
      </c>
      <c r="L33" s="21">
        <f t="shared" ca="1" si="60"/>
        <v>71178.75</v>
      </c>
      <c r="M33" s="21">
        <f t="shared" ca="1" si="53"/>
        <v>13523.9625</v>
      </c>
      <c r="O33" s="7">
        <v>1.6500000000000001E-2</v>
      </c>
      <c r="P33" s="8">
        <f>+SUM($O$24:O33)</f>
        <v>6.6000000000000003E-2</v>
      </c>
      <c r="Q33" s="60">
        <f ca="1">+$I$12*(1-SUM(O$30:O33))</f>
        <v>116633.24999999999</v>
      </c>
      <c r="R33" s="60">
        <f t="shared" ca="1" si="75"/>
        <v>18078.153749999998</v>
      </c>
      <c r="T33" s="21">
        <f t="shared" ca="1" si="61"/>
        <v>87474.937499999985</v>
      </c>
      <c r="U33" s="62">
        <f t="shared" ca="1" si="76"/>
        <v>13558.615312499998</v>
      </c>
      <c r="V33" s="62"/>
      <c r="W33" s="22">
        <f t="shared" ca="1" si="77"/>
        <v>36110.103749999995</v>
      </c>
      <c r="X33" s="20">
        <f t="shared" ca="1" si="78"/>
        <v>0.28916999999999998</v>
      </c>
      <c r="Y33" s="26">
        <f t="shared" ca="1" si="62"/>
        <v>0.02</v>
      </c>
      <c r="Z33" s="33">
        <f t="shared" ca="1" si="54"/>
        <v>1898.1000000000001</v>
      </c>
      <c r="AA33" s="67">
        <f t="shared" ca="1" si="63"/>
        <v>0.02</v>
      </c>
      <c r="AB33" s="55"/>
      <c r="AC33">
        <v>9</v>
      </c>
      <c r="AD33" s="95">
        <f t="shared" ca="1" si="13"/>
        <v>38008.203749999993</v>
      </c>
      <c r="AE33" s="96">
        <f t="shared" ca="1" si="64"/>
        <v>0.30436999999999997</v>
      </c>
      <c r="AF33" s="4"/>
      <c r="AG33" s="84">
        <f t="shared" ca="1" si="55"/>
        <v>27082.5778125</v>
      </c>
      <c r="AH33" s="11">
        <f t="shared" ca="1" si="79"/>
        <v>0.2168775</v>
      </c>
      <c r="AI33" s="26">
        <f t="shared" ca="1" si="65"/>
        <v>0.02</v>
      </c>
      <c r="AJ33" s="31">
        <f t="shared" ca="1" si="56"/>
        <v>1423.575</v>
      </c>
      <c r="AK33" s="87">
        <f t="shared" ca="1" si="66"/>
        <v>0.02</v>
      </c>
      <c r="AL33" s="33"/>
      <c r="AM33">
        <v>9</v>
      </c>
      <c r="AN33" s="99">
        <f t="shared" ca="1" si="20"/>
        <v>28506.1528125</v>
      </c>
      <c r="AO33" s="97">
        <f t="shared" ca="1" si="67"/>
        <v>0.22827749999999999</v>
      </c>
      <c r="AP33" s="4"/>
      <c r="AQ33" s="1">
        <v>0.02</v>
      </c>
      <c r="AR33" s="1">
        <f>+SUM($AQ$29:AQ33)</f>
        <v>0.08</v>
      </c>
      <c r="AS33" s="22">
        <f ca="1">+$I$12*(1-SUM(AQ$30:AQ33))</f>
        <v>114885</v>
      </c>
      <c r="AT33" s="22">
        <f t="shared" ca="1" si="80"/>
        <v>39635.324999999997</v>
      </c>
      <c r="AU33" s="20">
        <f t="shared" ca="1" si="81"/>
        <v>0.31739999999999996</v>
      </c>
      <c r="AV33" s="20">
        <f t="shared" ca="1" si="68"/>
        <v>0.03</v>
      </c>
      <c r="AW33" s="33">
        <f t="shared" ca="1" si="69"/>
        <v>3446.5499999999997</v>
      </c>
      <c r="AX33" s="87">
        <f t="shared" ca="1" si="70"/>
        <v>0.03</v>
      </c>
      <c r="AY33" s="87"/>
      <c r="AZ33">
        <v>9</v>
      </c>
      <c r="BA33" s="99">
        <f t="shared" ca="1" si="27"/>
        <v>43081.875</v>
      </c>
      <c r="BB33" s="97">
        <f t="shared" ca="1" si="82"/>
        <v>0.34499999999999997</v>
      </c>
      <c r="BC33" s="20"/>
      <c r="BD33" s="22">
        <f t="shared" ca="1" si="57"/>
        <v>-5073.6712500000067</v>
      </c>
      <c r="BE33" s="25">
        <f t="shared" ca="1" si="58"/>
        <v>-4.0629999999999999E-2</v>
      </c>
      <c r="BF33" s="4">
        <f t="shared" ca="1" si="59"/>
        <v>-0.11776811594202914</v>
      </c>
      <c r="BG33" s="25"/>
      <c r="BH33" s="10">
        <f t="shared" ca="1" si="71"/>
        <v>-14575.7221875</v>
      </c>
      <c r="BI33" s="12">
        <f t="shared" ca="1" si="72"/>
        <v>-0.11672249999999998</v>
      </c>
      <c r="BJ33" s="26">
        <f t="shared" ca="1" si="73"/>
        <v>-0.33832608695652172</v>
      </c>
      <c r="BK33" s="26"/>
      <c r="BL33" s="3">
        <f t="shared" ca="1" si="83"/>
        <v>-9502.0509374999929</v>
      </c>
      <c r="BR33" s="23">
        <f t="shared" ca="1" si="84"/>
        <v>21828.15</v>
      </c>
      <c r="BS33" s="23">
        <f t="shared" ca="1" si="85"/>
        <v>3446.5499999999997</v>
      </c>
      <c r="BT33" s="23">
        <f t="shared" ca="1" si="86"/>
        <v>25274.7</v>
      </c>
      <c r="BU33" s="25">
        <f t="shared" ca="1" si="74"/>
        <v>0.2865612648221344</v>
      </c>
    </row>
    <row r="34" spans="1:73" s="27" customFormat="1">
      <c r="A34" s="31">
        <f t="shared" ca="1" si="2"/>
        <v>42145.3125</v>
      </c>
      <c r="B34" s="23">
        <f t="shared" ca="1" si="29"/>
        <v>27086.558203125001</v>
      </c>
      <c r="C34" s="111">
        <f t="shared" ca="1" si="30"/>
        <v>36115.410937499997</v>
      </c>
      <c r="F34" s="27">
        <v>10</v>
      </c>
      <c r="G34" s="28">
        <v>0.06</v>
      </c>
      <c r="H34" s="1">
        <f>+SUM($G$24:G34)</f>
        <v>0.3</v>
      </c>
      <c r="I34">
        <f ca="1">+$I$12*(1-SUM(G$30:G34))</f>
        <v>87412.5</v>
      </c>
      <c r="J34" s="40">
        <f t="shared" ca="1" si="52"/>
        <v>16608.375</v>
      </c>
      <c r="L34" s="21">
        <f t="shared" ca="1" si="60"/>
        <v>65559.375</v>
      </c>
      <c r="M34" s="29">
        <f t="shared" ca="1" si="53"/>
        <v>12456.28125</v>
      </c>
      <c r="O34" s="30">
        <v>1.6500000000000001E-2</v>
      </c>
      <c r="P34" s="8">
        <f>+SUM($O$24:O34)</f>
        <v>8.2500000000000004E-2</v>
      </c>
      <c r="Q34" s="60">
        <f ca="1">+$I$12*(1-SUM(O$30:O34))</f>
        <v>114572.8125</v>
      </c>
      <c r="R34" s="60">
        <f t="shared" ca="1" si="75"/>
        <v>17758.785937500001</v>
      </c>
      <c r="S34" s="62"/>
      <c r="T34" s="21">
        <f t="shared" ca="1" si="61"/>
        <v>85929.609375</v>
      </c>
      <c r="U34" s="62">
        <f t="shared" ca="1" si="76"/>
        <v>13319.089453125</v>
      </c>
      <c r="V34" s="62"/>
      <c r="W34" s="22">
        <f t="shared" ca="1" si="77"/>
        <v>34367.160937499997</v>
      </c>
      <c r="X34" s="20">
        <f t="shared" ca="1" si="78"/>
        <v>0.27521249999999997</v>
      </c>
      <c r="Y34" s="26">
        <f t="shared" ca="1" si="62"/>
        <v>0.02</v>
      </c>
      <c r="Z34" s="33">
        <f t="shared" ca="1" si="54"/>
        <v>1748.25</v>
      </c>
      <c r="AA34" s="67">
        <f t="shared" ca="1" si="63"/>
        <v>0.02</v>
      </c>
      <c r="AB34" s="55"/>
      <c r="AC34" s="27">
        <v>10</v>
      </c>
      <c r="AD34" s="95">
        <f t="shared" ca="1" si="13"/>
        <v>36115.410937499997</v>
      </c>
      <c r="AE34" s="96">
        <f t="shared" ca="1" si="64"/>
        <v>0.28921249999999998</v>
      </c>
      <c r="AF34" s="32"/>
      <c r="AG34" s="85">
        <f t="shared" ca="1" si="55"/>
        <v>25775.370703125001</v>
      </c>
      <c r="AH34" s="11">
        <f t="shared" ca="1" si="79"/>
        <v>0.20640937500000001</v>
      </c>
      <c r="AI34" s="26">
        <f t="shared" ca="1" si="65"/>
        <v>0.02</v>
      </c>
      <c r="AJ34" s="31">
        <f t="shared" ca="1" si="56"/>
        <v>1311.1875</v>
      </c>
      <c r="AK34" s="87">
        <f t="shared" ca="1" si="66"/>
        <v>0.02</v>
      </c>
      <c r="AL34" s="33"/>
      <c r="AM34" s="27">
        <v>10</v>
      </c>
      <c r="AN34" s="99">
        <f t="shared" ca="1" si="20"/>
        <v>27086.558203125001</v>
      </c>
      <c r="AO34" s="97">
        <f t="shared" ca="1" si="67"/>
        <v>0.21690937500000002</v>
      </c>
      <c r="AP34" s="32"/>
      <c r="AQ34" s="28">
        <v>0.02</v>
      </c>
      <c r="AR34" s="1">
        <f>+SUM($AQ$29:AQ34)</f>
        <v>0.1</v>
      </c>
      <c r="AS34" s="22">
        <f ca="1">+$I$12*(1-SUM(AQ$30:AQ34))</f>
        <v>112387.5</v>
      </c>
      <c r="AT34" s="31">
        <f t="shared" ca="1" si="80"/>
        <v>38773.6875</v>
      </c>
      <c r="AU34" s="34">
        <f t="shared" ca="1" si="81"/>
        <v>0.3105</v>
      </c>
      <c r="AV34" s="20">
        <f t="shared" ca="1" si="68"/>
        <v>0.03</v>
      </c>
      <c r="AW34" s="33">
        <f t="shared" ca="1" si="69"/>
        <v>3371.625</v>
      </c>
      <c r="AX34" s="87">
        <f t="shared" ca="1" si="70"/>
        <v>0.03</v>
      </c>
      <c r="AY34" s="87"/>
      <c r="AZ34" s="27">
        <v>10</v>
      </c>
      <c r="BA34" s="99">
        <f t="shared" ca="1" si="27"/>
        <v>42145.3125</v>
      </c>
      <c r="BB34" s="97">
        <f t="shared" ca="1" si="82"/>
        <v>0.33750000000000002</v>
      </c>
      <c r="BC34" s="34"/>
      <c r="BD34" s="31">
        <f t="shared" ca="1" si="57"/>
        <v>-6029.9015625000029</v>
      </c>
      <c r="BE34" s="36">
        <f t="shared" ca="1" si="58"/>
        <v>-4.8287500000000039E-2</v>
      </c>
      <c r="BF34" s="32">
        <f t="shared" ca="1" si="59"/>
        <v>-0.14307407407407413</v>
      </c>
      <c r="BG34" s="36"/>
      <c r="BH34" s="37">
        <f t="shared" ca="1" si="71"/>
        <v>-15058.754296874999</v>
      </c>
      <c r="BI34" s="38">
        <f t="shared" ca="1" si="72"/>
        <v>-0.12059062500000001</v>
      </c>
      <c r="BJ34" s="39">
        <f t="shared" ca="1" si="73"/>
        <v>-0.35730555555555554</v>
      </c>
      <c r="BK34" s="39"/>
      <c r="BL34" s="35">
        <f t="shared" ca="1" si="83"/>
        <v>-9028.8527343749956</v>
      </c>
      <c r="BR34" s="40">
        <f t="shared" ca="1" si="84"/>
        <v>21353.625</v>
      </c>
      <c r="BS34" s="40">
        <f t="shared" ca="1" si="85"/>
        <v>3371.625</v>
      </c>
      <c r="BT34" s="40">
        <f t="shared" ca="1" si="86"/>
        <v>24725.25</v>
      </c>
      <c r="BU34" s="36">
        <f t="shared" ca="1" si="74"/>
        <v>0.32828282828282829</v>
      </c>
    </row>
    <row r="35" spans="1:73" s="41" customFormat="1">
      <c r="A35" s="110">
        <f t="shared" ca="1" si="2"/>
        <v>41197.749999999993</v>
      </c>
      <c r="B35" s="23">
        <f t="shared" ca="1" si="29"/>
        <v>25663.963593749999</v>
      </c>
      <c r="C35" s="111">
        <f t="shared" ca="1" si="30"/>
        <v>34222.618125000001</v>
      </c>
      <c r="F35" s="41">
        <v>11</v>
      </c>
      <c r="G35" s="42">
        <v>0.06</v>
      </c>
      <c r="H35" s="1">
        <f>+SUM($G$24:G35)</f>
        <v>0.36</v>
      </c>
      <c r="I35">
        <f ca="1">+$I$12*(1-SUM(G$30:G35))</f>
        <v>79920</v>
      </c>
      <c r="J35" s="53">
        <f t="shared" ca="1" si="52"/>
        <v>15184.8</v>
      </c>
      <c r="L35" s="21">
        <f t="shared" ca="1" si="60"/>
        <v>59940</v>
      </c>
      <c r="M35" s="43">
        <f t="shared" ca="1" si="53"/>
        <v>11388.6</v>
      </c>
      <c r="O35" s="44">
        <v>1.6500000000000001E-2</v>
      </c>
      <c r="P35" s="8">
        <f>+SUM($O$24:O35)</f>
        <v>9.9000000000000005E-2</v>
      </c>
      <c r="Q35" s="60">
        <f ca="1">+$I$12*(1-SUM(O$30:O35))</f>
        <v>112512.375</v>
      </c>
      <c r="R35" s="60">
        <f t="shared" ca="1" si="75"/>
        <v>17439.418125</v>
      </c>
      <c r="S35" s="63"/>
      <c r="T35" s="21">
        <f t="shared" ca="1" si="61"/>
        <v>84384.28125</v>
      </c>
      <c r="U35" s="62">
        <f t="shared" ca="1" si="76"/>
        <v>13079.563593749999</v>
      </c>
      <c r="V35" s="62"/>
      <c r="W35" s="22">
        <f t="shared" ca="1" si="77"/>
        <v>32624.218124999999</v>
      </c>
      <c r="X35" s="20">
        <f t="shared" ca="1" si="78"/>
        <v>0.26125500000000001</v>
      </c>
      <c r="Y35" s="26">
        <f t="shared" ca="1" si="62"/>
        <v>0.02</v>
      </c>
      <c r="Z35" s="33">
        <f t="shared" ca="1" si="54"/>
        <v>1598.4</v>
      </c>
      <c r="AA35" s="67">
        <f t="shared" ca="1" si="63"/>
        <v>0.02</v>
      </c>
      <c r="AB35" s="55"/>
      <c r="AC35" s="41">
        <v>11</v>
      </c>
      <c r="AD35" s="95">
        <f t="shared" ca="1" si="13"/>
        <v>34222.618125000001</v>
      </c>
      <c r="AE35" s="96">
        <f t="shared" ca="1" si="64"/>
        <v>0.27405499999999999</v>
      </c>
      <c r="AF35" s="46"/>
      <c r="AG35" s="86">
        <f t="shared" ca="1" si="55"/>
        <v>24468.16359375</v>
      </c>
      <c r="AH35" s="11">
        <f t="shared" ca="1" si="79"/>
        <v>0.19594124999999998</v>
      </c>
      <c r="AI35" s="26">
        <f t="shared" ca="1" si="65"/>
        <v>0.02</v>
      </c>
      <c r="AJ35" s="31">
        <f t="shared" ca="1" si="56"/>
        <v>1195.8</v>
      </c>
      <c r="AK35" s="87">
        <f t="shared" ca="1" si="66"/>
        <v>1.994994994994995E-2</v>
      </c>
      <c r="AL35" s="33"/>
      <c r="AM35" s="41">
        <v>11</v>
      </c>
      <c r="AN35" s="99">
        <f t="shared" ca="1" si="20"/>
        <v>25663.963593749999</v>
      </c>
      <c r="AO35" s="97">
        <f t="shared" ca="1" si="67"/>
        <v>0.20551722597597596</v>
      </c>
      <c r="AP35" s="46"/>
      <c r="AQ35" s="42">
        <v>0.02</v>
      </c>
      <c r="AR35" s="1">
        <f>+SUM($AQ$29:AQ35)</f>
        <v>0.12000000000000001</v>
      </c>
      <c r="AS35" s="22">
        <f ca="1">+$I$12*(1-SUM(AQ$30:AQ35))</f>
        <v>109890</v>
      </c>
      <c r="AT35" s="45">
        <f t="shared" ca="1" si="80"/>
        <v>37912.049999999996</v>
      </c>
      <c r="AU35" s="47">
        <f t="shared" ca="1" si="81"/>
        <v>0.30359999999999998</v>
      </c>
      <c r="AV35" s="20">
        <f t="shared" ca="1" si="68"/>
        <v>0.03</v>
      </c>
      <c r="AW35" s="33">
        <f t="shared" ca="1" si="69"/>
        <v>3285.7</v>
      </c>
      <c r="AX35" s="87">
        <f t="shared" ca="1" si="70"/>
        <v>2.9899899899899898E-2</v>
      </c>
      <c r="AY35" s="87"/>
      <c r="AZ35" s="41">
        <v>11</v>
      </c>
      <c r="BA35" s="99">
        <f t="shared" ca="1" si="27"/>
        <v>41197.749999999993</v>
      </c>
      <c r="BB35" s="97">
        <f t="shared" ca="1" si="82"/>
        <v>0.32991191191191183</v>
      </c>
      <c r="BC35" s="47"/>
      <c r="BD35" s="45">
        <f t="shared" ca="1" si="57"/>
        <v>-6975.1318749999919</v>
      </c>
      <c r="BE35" s="49">
        <f t="shared" ca="1" si="58"/>
        <v>-5.5856911911911833E-2</v>
      </c>
      <c r="BF35" s="46">
        <f t="shared" ca="1" si="59"/>
        <v>-0.16930856357446689</v>
      </c>
      <c r="BG35" s="49"/>
      <c r="BH35" s="50">
        <f t="shared" ca="1" si="71"/>
        <v>-15533.786406249994</v>
      </c>
      <c r="BI35" s="51">
        <f t="shared" ca="1" si="72"/>
        <v>-0.12439468593593586</v>
      </c>
      <c r="BJ35" s="52">
        <f t="shared" ca="1" si="73"/>
        <v>-0.37705424219162448</v>
      </c>
      <c r="BK35" s="52"/>
      <c r="BL35" s="48">
        <f t="shared" ca="1" si="83"/>
        <v>-8558.654531250002</v>
      </c>
      <c r="BR35" s="53">
        <f t="shared" ca="1" si="84"/>
        <v>20879.099999999999</v>
      </c>
      <c r="BS35" s="53">
        <f t="shared" ca="1" si="85"/>
        <v>3285.7</v>
      </c>
      <c r="BT35" s="53">
        <f t="shared" ca="1" si="86"/>
        <v>24164.799999999999</v>
      </c>
      <c r="BU35" s="49">
        <f t="shared" ca="1" si="74"/>
        <v>0.37161491094484539</v>
      </c>
    </row>
    <row r="36" spans="1:73">
      <c r="A36" s="31">
        <f t="shared" ca="1" si="2"/>
        <v>40011.4375</v>
      </c>
      <c r="B36" s="23">
        <f t="shared" ca="1" si="29"/>
        <v>23963.400234375007</v>
      </c>
      <c r="C36" s="111">
        <f t="shared" ca="1" si="30"/>
        <v>32329.825312500001</v>
      </c>
      <c r="F36">
        <v>12</v>
      </c>
      <c r="G36" s="1">
        <v>0.06</v>
      </c>
      <c r="H36" s="1">
        <f>+SUM($G$24:G36)</f>
        <v>0.42</v>
      </c>
      <c r="I36">
        <f ca="1">+$I$12*(1-SUM(G$30:G36))</f>
        <v>72427.500000000015</v>
      </c>
      <c r="J36" s="23">
        <f t="shared" ca="1" si="52"/>
        <v>13761.225000000002</v>
      </c>
      <c r="L36" s="21">
        <f t="shared" ca="1" si="60"/>
        <v>54320.625000000015</v>
      </c>
      <c r="M36" s="21">
        <f t="shared" ca="1" si="53"/>
        <v>10320.918750000003</v>
      </c>
      <c r="O36" s="7">
        <v>1.6500000000000001E-2</v>
      </c>
      <c r="P36" s="8">
        <f>+SUM($O$24:O36)</f>
        <v>0.11550000000000001</v>
      </c>
      <c r="Q36" s="60">
        <f ca="1">+$I$12*(1-SUM(O$30:O36))</f>
        <v>110451.9375</v>
      </c>
      <c r="R36" s="60">
        <f t="shared" ca="1" si="75"/>
        <v>17120.0503125</v>
      </c>
      <c r="T36" s="21">
        <f t="shared" ca="1" si="61"/>
        <v>82838.953125</v>
      </c>
      <c r="U36" s="62">
        <f t="shared" ca="1" si="76"/>
        <v>12840.037734375001</v>
      </c>
      <c r="V36" s="62"/>
      <c r="W36" s="22">
        <f t="shared" ca="1" si="77"/>
        <v>30881.275312500002</v>
      </c>
      <c r="X36" s="20">
        <f t="shared" ca="1" si="78"/>
        <v>0.2472975</v>
      </c>
      <c r="Y36" s="26">
        <f t="shared" ca="1" si="62"/>
        <v>0.02</v>
      </c>
      <c r="Z36" s="33">
        <f t="shared" ca="1" si="54"/>
        <v>1448.5500000000004</v>
      </c>
      <c r="AA36" s="67">
        <f t="shared" ca="1" si="63"/>
        <v>0.02</v>
      </c>
      <c r="AB36" s="55"/>
      <c r="AC36">
        <v>12</v>
      </c>
      <c r="AD36" s="95">
        <f t="shared" ca="1" si="13"/>
        <v>32329.825312500001</v>
      </c>
      <c r="AE36" s="96">
        <f t="shared" ca="1" si="64"/>
        <v>0.2588975</v>
      </c>
      <c r="AF36" s="4"/>
      <c r="AG36" s="84">
        <f t="shared" ca="1" si="55"/>
        <v>23160.956484375005</v>
      </c>
      <c r="AH36" s="11">
        <f t="shared" ca="1" si="79"/>
        <v>0.18547312500000004</v>
      </c>
      <c r="AI36" s="26">
        <f t="shared" ca="1" si="65"/>
        <v>0.02</v>
      </c>
      <c r="AJ36" s="31">
        <f t="shared" ca="1" si="56"/>
        <v>802.44375000000105</v>
      </c>
      <c r="AK36" s="87">
        <f t="shared" ca="1" si="66"/>
        <v>1.4772358565462029E-2</v>
      </c>
      <c r="AL36" s="33"/>
      <c r="AM36">
        <v>12</v>
      </c>
      <c r="AN36" s="99">
        <f t="shared" ca="1" si="20"/>
        <v>23963.400234375007</v>
      </c>
      <c r="AO36" s="97">
        <f t="shared" ca="1" si="67"/>
        <v>0.19189910097597604</v>
      </c>
      <c r="AP36" s="4"/>
      <c r="AQ36" s="1">
        <v>0.02</v>
      </c>
      <c r="AR36" s="1">
        <f>+SUM($AQ$29:AQ36)</f>
        <v>0.14000000000000001</v>
      </c>
      <c r="AS36" s="22">
        <f ca="1">+$I$12*(1-SUM(AQ$30:AQ36))</f>
        <v>107392.5</v>
      </c>
      <c r="AT36" s="22">
        <f t="shared" ca="1" si="80"/>
        <v>37050.412499999999</v>
      </c>
      <c r="AU36" s="20">
        <f t="shared" ca="1" si="81"/>
        <v>0.29669999999999996</v>
      </c>
      <c r="AV36" s="20">
        <f t="shared" ca="1" si="68"/>
        <v>0.03</v>
      </c>
      <c r="AW36" s="33">
        <f t="shared" ca="1" si="69"/>
        <v>2961.0250000000001</v>
      </c>
      <c r="AX36" s="87">
        <f t="shared" ca="1" si="70"/>
        <v>2.7571990595246409E-2</v>
      </c>
      <c r="AY36" s="87"/>
      <c r="AZ36">
        <v>12</v>
      </c>
      <c r="BA36" s="99">
        <f t="shared" ca="1" si="27"/>
        <v>40011.4375</v>
      </c>
      <c r="BB36" s="97">
        <f t="shared" ca="1" si="82"/>
        <v>0.32041191191191193</v>
      </c>
      <c r="BC36" s="20"/>
      <c r="BD36" s="22">
        <f t="shared" ca="1" si="57"/>
        <v>-7681.612187499999</v>
      </c>
      <c r="BE36" s="25">
        <f t="shared" ca="1" si="58"/>
        <v>-6.1514411911911926E-2</v>
      </c>
      <c r="BF36" s="4">
        <f t="shared" ca="1" si="59"/>
        <v>-0.19198540885965418</v>
      </c>
      <c r="BG36" s="25"/>
      <c r="BH36" s="10">
        <f t="shared" ca="1" si="71"/>
        <v>-16048.037265624993</v>
      </c>
      <c r="BI36" s="12">
        <f t="shared" ca="1" si="72"/>
        <v>-0.12851281093593589</v>
      </c>
      <c r="BJ36" s="26">
        <f t="shared" ca="1" si="73"/>
        <v>-0.40108624604214715</v>
      </c>
      <c r="BK36" s="26"/>
      <c r="BL36" s="3">
        <f t="shared" ca="1" si="83"/>
        <v>-8366.4250781249939</v>
      </c>
      <c r="BR36" s="23">
        <f t="shared" ca="1" si="84"/>
        <v>20404.575000000001</v>
      </c>
      <c r="BS36" s="23">
        <f t="shared" ca="1" si="85"/>
        <v>2961.0250000000001</v>
      </c>
      <c r="BT36" s="23">
        <f t="shared" ca="1" si="86"/>
        <v>23365.600000000002</v>
      </c>
      <c r="BU36" s="25">
        <f t="shared" ca="1" si="74"/>
        <v>0.41104765124798848</v>
      </c>
    </row>
    <row r="37" spans="1:73">
      <c r="A37" s="31">
        <f t="shared" ca="1" si="2"/>
        <v>38825.124999999993</v>
      </c>
      <c r="B37" s="23">
        <f t="shared" ca="1" si="29"/>
        <v>21853.749374999999</v>
      </c>
      <c r="C37" s="111">
        <f t="shared" ca="1" si="30"/>
        <v>30437.032499999998</v>
      </c>
      <c r="F37">
        <v>13</v>
      </c>
      <c r="G37" s="1">
        <v>0.06</v>
      </c>
      <c r="H37" s="1">
        <f>+SUM($G$24:G37)</f>
        <v>0.48</v>
      </c>
      <c r="I37">
        <f ca="1">+$I$12*(1-SUM(G$30:G37))</f>
        <v>64935</v>
      </c>
      <c r="J37" s="23">
        <f t="shared" ca="1" si="52"/>
        <v>12337.65</v>
      </c>
      <c r="L37" s="21">
        <f t="shared" ca="1" si="60"/>
        <v>48701.25</v>
      </c>
      <c r="M37" s="21">
        <f t="shared" ca="1" si="53"/>
        <v>9253.2374999999993</v>
      </c>
      <c r="O37" s="7">
        <v>1.6500000000000001E-2</v>
      </c>
      <c r="P37" s="8">
        <f>+SUM($O$24:O37)</f>
        <v>0.13200000000000001</v>
      </c>
      <c r="Q37" s="60">
        <f ca="1">+$I$12*(1-SUM(O$30:O37))</f>
        <v>108391.5</v>
      </c>
      <c r="R37" s="60">
        <f t="shared" ca="1" si="75"/>
        <v>16800.682499999999</v>
      </c>
      <c r="T37" s="21">
        <f t="shared" ca="1" si="61"/>
        <v>81293.625</v>
      </c>
      <c r="U37" s="62">
        <f t="shared" ca="1" si="76"/>
        <v>12600.511875</v>
      </c>
      <c r="V37" s="62"/>
      <c r="W37" s="22">
        <f t="shared" ca="1" si="77"/>
        <v>29138.332499999997</v>
      </c>
      <c r="X37" s="20">
        <f t="shared" ca="1" si="78"/>
        <v>0.23333999999999996</v>
      </c>
      <c r="Y37" s="26">
        <f t="shared" ca="1" si="62"/>
        <v>0.02</v>
      </c>
      <c r="Z37" s="33">
        <f t="shared" ca="1" si="54"/>
        <v>1298.7</v>
      </c>
      <c r="AA37" s="67">
        <f t="shared" ca="1" si="63"/>
        <v>0.02</v>
      </c>
      <c r="AB37" s="55"/>
      <c r="AC37">
        <v>13</v>
      </c>
      <c r="AD37" s="95">
        <f t="shared" ca="1" si="13"/>
        <v>30437.032499999998</v>
      </c>
      <c r="AE37" s="96">
        <f t="shared" ca="1" si="64"/>
        <v>0.24373999999999998</v>
      </c>
      <c r="AF37" s="4"/>
      <c r="AG37" s="84">
        <f t="shared" ca="1" si="55"/>
        <v>21853.749374999999</v>
      </c>
      <c r="AH37" s="11">
        <f t="shared" ca="1" si="79"/>
        <v>0.17500499999999999</v>
      </c>
      <c r="AI37" s="26">
        <f t="shared" ca="1" si="65"/>
        <v>0</v>
      </c>
      <c r="AJ37" s="31">
        <f t="shared" ca="1" si="56"/>
        <v>0</v>
      </c>
      <c r="AK37" s="87">
        <f t="shared" ca="1" si="66"/>
        <v>0</v>
      </c>
      <c r="AL37" s="33"/>
      <c r="AM37">
        <v>13</v>
      </c>
      <c r="AN37" s="99">
        <f t="shared" ca="1" si="20"/>
        <v>21853.749374999999</v>
      </c>
      <c r="AO37" s="97">
        <f t="shared" ca="1" si="67"/>
        <v>0.17500499999999999</v>
      </c>
      <c r="AP37" s="4"/>
      <c r="AQ37" s="1">
        <v>0.02</v>
      </c>
      <c r="AR37" s="1">
        <f>+SUM($AQ$29:AQ37)</f>
        <v>0.16</v>
      </c>
      <c r="AS37" s="22">
        <f ca="1">+$I$12*(1-SUM(AQ$30:AQ37))</f>
        <v>104895</v>
      </c>
      <c r="AT37" s="22">
        <f t="shared" ca="1" si="80"/>
        <v>36188.774999999994</v>
      </c>
      <c r="AU37" s="20">
        <f t="shared" ca="1" si="81"/>
        <v>0.28979999999999995</v>
      </c>
      <c r="AV37" s="20">
        <f t="shared" ca="1" si="68"/>
        <v>0.03</v>
      </c>
      <c r="AW37" s="33">
        <f t="shared" ca="1" si="69"/>
        <v>2636.35</v>
      </c>
      <c r="AX37" s="87">
        <f t="shared" ca="1" si="70"/>
        <v>2.51332284665618E-2</v>
      </c>
      <c r="AY37" s="87"/>
      <c r="AZ37">
        <v>13</v>
      </c>
      <c r="BA37" s="99">
        <f t="shared" ca="1" si="27"/>
        <v>38825.124999999993</v>
      </c>
      <c r="BB37" s="97">
        <f t="shared" ca="1" si="82"/>
        <v>0.31091191191191186</v>
      </c>
      <c r="BC37" s="20"/>
      <c r="BD37" s="22">
        <f t="shared" ca="1" si="57"/>
        <v>-8388.0924999999952</v>
      </c>
      <c r="BE37" s="25">
        <f t="shared" ca="1" si="58"/>
        <v>-6.717191191191188E-2</v>
      </c>
      <c r="BF37" s="4">
        <f t="shared" ca="1" si="59"/>
        <v>-0.2160480487828435</v>
      </c>
      <c r="BG37" s="25"/>
      <c r="BH37" s="10">
        <f t="shared" ca="1" si="71"/>
        <v>-16971.375624999993</v>
      </c>
      <c r="BI37" s="12">
        <f t="shared" ca="1" si="72"/>
        <v>-0.13590691191191187</v>
      </c>
      <c r="BJ37" s="26">
        <f t="shared" ca="1" si="73"/>
        <v>-0.43712352825650908</v>
      </c>
      <c r="BK37" s="26"/>
      <c r="BL37" s="3">
        <f t="shared" ca="1" si="83"/>
        <v>-8583.2831249999981</v>
      </c>
      <c r="BR37" s="23">
        <f t="shared" ca="1" si="84"/>
        <v>19930.05</v>
      </c>
      <c r="BS37" s="23">
        <f t="shared" ca="1" si="85"/>
        <v>2636.35</v>
      </c>
      <c r="BT37" s="23">
        <f t="shared" ca="1" si="86"/>
        <v>22566.399999999998</v>
      </c>
      <c r="BU37" s="25">
        <f t="shared" ca="1" si="74"/>
        <v>0.45327345079410092</v>
      </c>
    </row>
    <row r="38" spans="1:73">
      <c r="A38" s="31">
        <f t="shared" ca="1" si="2"/>
        <v>37638.812500000007</v>
      </c>
      <c r="B38" s="23">
        <f t="shared" ca="1" si="29"/>
        <v>20546.542265624998</v>
      </c>
      <c r="C38" s="111">
        <f t="shared" ca="1" si="30"/>
        <v>28416.364687499998</v>
      </c>
      <c r="F38">
        <v>14</v>
      </c>
      <c r="G38" s="1">
        <v>0.06</v>
      </c>
      <c r="H38" s="1">
        <f>+SUM($G$24:G38)</f>
        <v>0.54</v>
      </c>
      <c r="I38">
        <f ca="1">+$I$12*(1-SUM(G$30:G38))</f>
        <v>57442.499999999993</v>
      </c>
      <c r="J38" s="23">
        <f t="shared" ca="1" si="52"/>
        <v>10914.074999999999</v>
      </c>
      <c r="L38" s="21">
        <f t="shared" ca="1" si="60"/>
        <v>43081.874999999993</v>
      </c>
      <c r="M38" s="21">
        <f t="shared" ca="1" si="53"/>
        <v>8185.5562499999987</v>
      </c>
      <c r="O38" s="7">
        <v>1.6500000000000001E-2</v>
      </c>
      <c r="P38" s="8">
        <f>+SUM($O$24:O38)</f>
        <v>0.14850000000000002</v>
      </c>
      <c r="Q38" s="60">
        <f ca="1">+$I$12*(1-SUM(O$30:O38))</f>
        <v>106331.06249999999</v>
      </c>
      <c r="R38" s="60">
        <f t="shared" ca="1" si="75"/>
        <v>16481.314687499998</v>
      </c>
      <c r="T38" s="21">
        <f t="shared" ca="1" si="61"/>
        <v>79748.296874999985</v>
      </c>
      <c r="U38" s="62">
        <f t="shared" ca="1" si="76"/>
        <v>12360.986015624998</v>
      </c>
      <c r="V38" s="62"/>
      <c r="W38" s="22">
        <f t="shared" ca="1" si="77"/>
        <v>27395.389687499999</v>
      </c>
      <c r="X38" s="20">
        <f t="shared" ca="1" si="78"/>
        <v>0.21938249999999998</v>
      </c>
      <c r="Y38" s="26">
        <f t="shared" ca="1" si="62"/>
        <v>0.02</v>
      </c>
      <c r="Z38" s="33">
        <f t="shared" ca="1" si="54"/>
        <v>1020.9749999999996</v>
      </c>
      <c r="AA38" s="67">
        <f t="shared" ca="1" si="63"/>
        <v>1.7773860817339074E-2</v>
      </c>
      <c r="AB38" s="55"/>
      <c r="AC38">
        <v>14</v>
      </c>
      <c r="AD38" s="95">
        <f t="shared" ca="1" si="13"/>
        <v>28416.364687499998</v>
      </c>
      <c r="AE38" s="96">
        <f t="shared" ca="1" si="64"/>
        <v>0.22755847597597595</v>
      </c>
      <c r="AF38" s="4"/>
      <c r="AG38" s="84">
        <f t="shared" ca="1" si="55"/>
        <v>20546.542265624998</v>
      </c>
      <c r="AH38" s="11">
        <f t="shared" ca="1" si="79"/>
        <v>0.16453687499999997</v>
      </c>
      <c r="AI38" s="26">
        <f t="shared" ca="1" si="65"/>
        <v>0</v>
      </c>
      <c r="AJ38" s="31">
        <f t="shared" ca="1" si="56"/>
        <v>0</v>
      </c>
      <c r="AK38" s="87">
        <f t="shared" ca="1" si="66"/>
        <v>0</v>
      </c>
      <c r="AL38" s="33">
        <f ca="1">3%*L38-(110000-L38)*(1/10)</f>
        <v>-5399.3562500000007</v>
      </c>
      <c r="AM38">
        <v>14</v>
      </c>
      <c r="AN38" s="99">
        <f t="shared" ca="1" si="20"/>
        <v>20546.542265624998</v>
      </c>
      <c r="AO38" s="97">
        <f t="shared" ca="1" si="67"/>
        <v>0.16453687499999997</v>
      </c>
      <c r="AP38" s="4"/>
      <c r="AQ38" s="1">
        <v>0.02</v>
      </c>
      <c r="AR38" s="1">
        <f>+SUM($AQ$29:AQ38)</f>
        <v>0.18</v>
      </c>
      <c r="AS38" s="22">
        <f ca="1">+$I$12*(1-SUM(AQ$30:AQ38))</f>
        <v>102397.50000000001</v>
      </c>
      <c r="AT38" s="22">
        <f t="shared" ca="1" si="80"/>
        <v>35327.137500000004</v>
      </c>
      <c r="AU38" s="20">
        <f t="shared" ca="1" si="81"/>
        <v>0.28290000000000004</v>
      </c>
      <c r="AV38" s="20">
        <f t="shared" ca="1" si="68"/>
        <v>0.03</v>
      </c>
      <c r="AW38" s="33">
        <f t="shared" ca="1" si="69"/>
        <v>2311.6750000000015</v>
      </c>
      <c r="AX38" s="87">
        <f t="shared" ca="1" si="70"/>
        <v>2.2575502331599905E-2</v>
      </c>
      <c r="AY38" s="87"/>
      <c r="AZ38">
        <v>14</v>
      </c>
      <c r="BA38" s="99">
        <f t="shared" ca="1" si="27"/>
        <v>37638.812500000007</v>
      </c>
      <c r="BB38" s="97">
        <f t="shared" ca="1" si="82"/>
        <v>0.30141191191191197</v>
      </c>
      <c r="BC38" s="20"/>
      <c r="BD38" s="22">
        <f t="shared" ca="1" si="57"/>
        <v>-9222.4478125000096</v>
      </c>
      <c r="BE38" s="25">
        <f t="shared" ca="1" si="58"/>
        <v>-7.3853435935936018E-2</v>
      </c>
      <c r="BF38" s="4">
        <f t="shared" ca="1" si="59"/>
        <v>-0.24502494101002809</v>
      </c>
      <c r="BG38" s="25"/>
      <c r="BH38" s="10">
        <f t="shared" ca="1" si="71"/>
        <v>-17092.27023437501</v>
      </c>
      <c r="BI38" s="12">
        <f t="shared" ca="1" si="72"/>
        <v>-0.136875036911912</v>
      </c>
      <c r="BJ38" s="26">
        <f t="shared" ca="1" si="73"/>
        <v>-0.45411289833798574</v>
      </c>
      <c r="BK38" s="26"/>
      <c r="BL38" s="3">
        <f t="shared" ca="1" si="83"/>
        <v>-7869.8224218750001</v>
      </c>
      <c r="BR38" s="23">
        <f t="shared" ca="1" si="84"/>
        <v>19455.525000000001</v>
      </c>
      <c r="BS38" s="23">
        <f t="shared" ca="1" si="85"/>
        <v>2311.6750000000015</v>
      </c>
      <c r="BT38" s="23">
        <f t="shared" ca="1" si="86"/>
        <v>21767.200000000004</v>
      </c>
      <c r="BU38" s="25">
        <f t="shared" ca="1" si="74"/>
        <v>0.49859995773457327</v>
      </c>
    </row>
    <row r="39" spans="1:73">
      <c r="A39" s="31">
        <f t="shared" ca="1" si="2"/>
        <v>36463.5</v>
      </c>
      <c r="B39" s="23">
        <f t="shared" ca="1" si="29"/>
        <v>19239.335156249996</v>
      </c>
      <c r="C39" s="111">
        <f t="shared" ca="1" si="30"/>
        <v>25652.446874999998</v>
      </c>
      <c r="F39">
        <v>15</v>
      </c>
      <c r="G39" s="1">
        <v>0.06</v>
      </c>
      <c r="H39" s="1">
        <f>+SUM($G$24:G39)</f>
        <v>0.60000000000000009</v>
      </c>
      <c r="I39">
        <f ca="1">+$I$12*(1-SUM(G$30:G39))</f>
        <v>49949.999999999985</v>
      </c>
      <c r="J39" s="23">
        <f t="shared" ca="1" si="52"/>
        <v>9490.4999999999982</v>
      </c>
      <c r="L39" s="21">
        <f t="shared" ca="1" si="60"/>
        <v>37462.499999999985</v>
      </c>
      <c r="M39" s="21">
        <f t="shared" ca="1" si="53"/>
        <v>7117.8749999999973</v>
      </c>
      <c r="O39" s="7">
        <v>1.6500000000000001E-2</v>
      </c>
      <c r="P39" s="8">
        <f>+SUM($O$24:O39)</f>
        <v>0.16500000000000004</v>
      </c>
      <c r="Q39" s="60">
        <f ca="1">+$I$12*(1-SUM(O$30:O39))</f>
        <v>104270.625</v>
      </c>
      <c r="R39" s="60">
        <f t="shared" ca="1" si="75"/>
        <v>16161.946875</v>
      </c>
      <c r="T39" s="21">
        <f t="shared" ca="1" si="61"/>
        <v>78202.96875</v>
      </c>
      <c r="U39" s="62">
        <f t="shared" ca="1" si="76"/>
        <v>12121.460156249999</v>
      </c>
      <c r="V39" s="62"/>
      <c r="W39" s="22">
        <f t="shared" ca="1" si="77"/>
        <v>25652.446874999998</v>
      </c>
      <c r="X39" s="20">
        <f t="shared" ca="1" si="78"/>
        <v>0.20542499999999997</v>
      </c>
      <c r="Y39" s="26">
        <f t="shared" ca="1" si="62"/>
        <v>0</v>
      </c>
      <c r="Z39" s="33">
        <f t="shared" ca="1" si="54"/>
        <v>0</v>
      </c>
      <c r="AA39" s="67">
        <f t="shared" ca="1" si="63"/>
        <v>0</v>
      </c>
      <c r="AB39" s="55"/>
      <c r="AC39">
        <v>15</v>
      </c>
      <c r="AD39" s="95">
        <f t="shared" ca="1" si="13"/>
        <v>25652.446874999998</v>
      </c>
      <c r="AE39" s="96">
        <f t="shared" ca="1" si="64"/>
        <v>0.20542499999999997</v>
      </c>
      <c r="AF39" s="4"/>
      <c r="AG39" s="84">
        <f t="shared" ca="1" si="55"/>
        <v>19239.335156249996</v>
      </c>
      <c r="AH39" s="11">
        <f t="shared" ca="1" si="79"/>
        <v>0.15406874999999998</v>
      </c>
      <c r="AI39" s="26">
        <f t="shared" ca="1" si="65"/>
        <v>0</v>
      </c>
      <c r="AJ39" s="31">
        <f t="shared" ca="1" si="56"/>
        <v>0</v>
      </c>
      <c r="AK39" s="87">
        <f t="shared" ca="1" si="66"/>
        <v>0</v>
      </c>
      <c r="AL39" s="33"/>
      <c r="AM39">
        <v>15</v>
      </c>
      <c r="AN39" s="99">
        <f t="shared" ca="1" si="20"/>
        <v>19239.335156249996</v>
      </c>
      <c r="AO39" s="97">
        <f t="shared" ca="1" si="67"/>
        <v>0.15406874999999998</v>
      </c>
      <c r="AP39" s="4"/>
      <c r="AQ39" s="1">
        <v>0.02</v>
      </c>
      <c r="AR39" s="1">
        <f>+SUM($AQ$29:AQ39)</f>
        <v>0.19999999999999998</v>
      </c>
      <c r="AS39" s="22">
        <f ca="1">+$I$12*(1-SUM(AQ$30:AQ39))</f>
        <v>99900</v>
      </c>
      <c r="AT39" s="22">
        <f t="shared" ca="1" si="80"/>
        <v>34465.5</v>
      </c>
      <c r="AU39" s="20">
        <f t="shared" ca="1" si="81"/>
        <v>0.27600000000000002</v>
      </c>
      <c r="AV39" s="20">
        <f t="shared" ca="1" si="68"/>
        <v>0.02</v>
      </c>
      <c r="AW39" s="33">
        <f t="shared" ca="1" si="69"/>
        <v>1998</v>
      </c>
      <c r="AX39" s="87">
        <f t="shared" ca="1" si="70"/>
        <v>0.02</v>
      </c>
      <c r="AY39" s="87"/>
      <c r="AZ39">
        <v>15</v>
      </c>
      <c r="BA39" s="99">
        <f t="shared" ca="1" si="27"/>
        <v>36463.5</v>
      </c>
      <c r="BB39" s="97">
        <f t="shared" ca="1" si="82"/>
        <v>0.29199999999999998</v>
      </c>
      <c r="BC39" s="20"/>
      <c r="BD39" s="22">
        <f t="shared" ca="1" si="57"/>
        <v>-10811.053125000002</v>
      </c>
      <c r="BE39" s="25">
        <f t="shared" ca="1" si="58"/>
        <v>-8.6575000000000013E-2</v>
      </c>
      <c r="BF39" s="4">
        <f t="shared" ca="1" si="59"/>
        <v>-0.29648972602739732</v>
      </c>
      <c r="BG39" s="25"/>
      <c r="BH39" s="10">
        <f t="shared" ca="1" si="71"/>
        <v>-17224.164843750004</v>
      </c>
      <c r="BI39" s="12">
        <f t="shared" ca="1" si="72"/>
        <v>-0.13793125000000001</v>
      </c>
      <c r="BJ39" s="26">
        <f t="shared" ca="1" si="73"/>
        <v>-0.47236729452054804</v>
      </c>
      <c r="BK39" s="26"/>
      <c r="BL39" s="3">
        <f t="shared" ca="1" si="83"/>
        <v>-6413.1117187500022</v>
      </c>
      <c r="BR39" s="23">
        <f t="shared" ca="1" si="84"/>
        <v>18981</v>
      </c>
      <c r="BS39" s="23">
        <f t="shared" ca="1" si="85"/>
        <v>1998</v>
      </c>
      <c r="BT39" s="23">
        <f t="shared" ca="1" si="86"/>
        <v>20979</v>
      </c>
      <c r="BU39" s="25">
        <f t="shared" ca="1" si="74"/>
        <v>0.54761904761904767</v>
      </c>
    </row>
    <row r="40" spans="1:73">
      <c r="A40" s="31">
        <f t="shared" ca="1" si="2"/>
        <v>35551.912499999999</v>
      </c>
      <c r="B40" s="23">
        <f t="shared" ca="1" si="29"/>
        <v>17932.128046874997</v>
      </c>
      <c r="C40" s="111">
        <f t="shared" ca="1" si="30"/>
        <v>23909.504062499997</v>
      </c>
      <c r="F40">
        <v>16</v>
      </c>
      <c r="G40" s="1">
        <v>0.06</v>
      </c>
      <c r="H40" s="1">
        <f>+SUM($G$24:G40)</f>
        <v>0.66000000000000014</v>
      </c>
      <c r="I40">
        <f ca="1">+$I$12*(1-SUM(G$30:G40))</f>
        <v>42457.499999999985</v>
      </c>
      <c r="J40" s="23">
        <f t="shared" ca="1" si="52"/>
        <v>8066.9249999999975</v>
      </c>
      <c r="L40" s="21">
        <f t="shared" ca="1" si="60"/>
        <v>31843.124999999989</v>
      </c>
      <c r="M40" s="21">
        <f t="shared" ca="1" si="53"/>
        <v>6050.1937499999976</v>
      </c>
      <c r="O40" s="7">
        <v>1.6500000000000001E-2</v>
      </c>
      <c r="P40" s="8">
        <f>+SUM($O$24:O40)</f>
        <v>0.18150000000000005</v>
      </c>
      <c r="Q40" s="60">
        <f ca="1">+$I$12*(1-SUM(O$30:O40))</f>
        <v>102210.1875</v>
      </c>
      <c r="R40" s="60">
        <f t="shared" ca="1" si="75"/>
        <v>15842.579062499999</v>
      </c>
      <c r="T40" s="21">
        <f t="shared" ca="1" si="61"/>
        <v>76657.640625</v>
      </c>
      <c r="U40" s="62">
        <f t="shared" ca="1" si="76"/>
        <v>11881.934296875001</v>
      </c>
      <c r="V40" s="62"/>
      <c r="W40" s="22">
        <f t="shared" ca="1" si="77"/>
        <v>23909.504062499997</v>
      </c>
      <c r="X40" s="20">
        <f t="shared" ca="1" si="78"/>
        <v>0.19146749999999998</v>
      </c>
      <c r="Y40" s="26">
        <f t="shared" ca="1" si="62"/>
        <v>0</v>
      </c>
      <c r="Z40" s="33">
        <f t="shared" ca="1" si="54"/>
        <v>0</v>
      </c>
      <c r="AA40" s="67">
        <f t="shared" ca="1" si="63"/>
        <v>0</v>
      </c>
      <c r="AB40" s="55"/>
      <c r="AC40">
        <v>16</v>
      </c>
      <c r="AD40" s="95">
        <f t="shared" ca="1" si="13"/>
        <v>23909.504062499997</v>
      </c>
      <c r="AE40" s="96">
        <f t="shared" ca="1" si="64"/>
        <v>0.19146749999999998</v>
      </c>
      <c r="AF40" s="4"/>
      <c r="AG40" s="84">
        <f t="shared" ca="1" si="55"/>
        <v>17932.128046874997</v>
      </c>
      <c r="AH40" s="11">
        <f t="shared" ca="1" si="79"/>
        <v>0.14360062499999998</v>
      </c>
      <c r="AI40" s="26">
        <f t="shared" ca="1" si="65"/>
        <v>0</v>
      </c>
      <c r="AJ40" s="31">
        <f t="shared" ca="1" si="56"/>
        <v>0</v>
      </c>
      <c r="AK40" s="87">
        <f t="shared" ca="1" si="66"/>
        <v>0</v>
      </c>
      <c r="AL40" s="33"/>
      <c r="AM40">
        <v>16</v>
      </c>
      <c r="AN40" s="99">
        <f t="shared" ca="1" si="20"/>
        <v>17932.128046874997</v>
      </c>
      <c r="AO40" s="97">
        <f t="shared" ca="1" si="67"/>
        <v>0.14360062499999998</v>
      </c>
      <c r="AP40" s="4"/>
      <c r="AQ40" s="1">
        <v>0.02</v>
      </c>
      <c r="AR40" s="1">
        <f>+SUM($AQ$29:AQ40)</f>
        <v>0.21999999999999997</v>
      </c>
      <c r="AS40" s="22">
        <f ca="1">+$I$12*(1-SUM(AQ$30:AQ40))</f>
        <v>97402.5</v>
      </c>
      <c r="AT40" s="22">
        <f t="shared" ca="1" si="80"/>
        <v>33603.862499999996</v>
      </c>
      <c r="AU40" s="20">
        <f t="shared" ca="1" si="81"/>
        <v>0.26909999999999995</v>
      </c>
      <c r="AV40" s="20">
        <f t="shared" ca="1" si="68"/>
        <v>0.02</v>
      </c>
      <c r="AW40" s="33">
        <f t="shared" ca="1" si="69"/>
        <v>1948.05</v>
      </c>
      <c r="AX40" s="87">
        <f t="shared" ca="1" si="70"/>
        <v>0.02</v>
      </c>
      <c r="AY40" s="87"/>
      <c r="AZ40">
        <v>16</v>
      </c>
      <c r="BA40" s="99">
        <f t="shared" ca="1" si="27"/>
        <v>35551.912499999999</v>
      </c>
      <c r="BB40" s="97">
        <f t="shared" ca="1" si="82"/>
        <v>0.28470000000000001</v>
      </c>
      <c r="BC40" s="20"/>
      <c r="BD40" s="22">
        <f t="shared" ca="1" si="57"/>
        <v>-11642.408437500002</v>
      </c>
      <c r="BE40" s="25">
        <f t="shared" ca="1" si="58"/>
        <v>-9.3232500000000024E-2</v>
      </c>
      <c r="BF40" s="4">
        <f t="shared" ca="1" si="59"/>
        <v>-0.32747629083245527</v>
      </c>
      <c r="BG40" s="25"/>
      <c r="BH40" s="10">
        <f t="shared" ca="1" si="71"/>
        <v>-17619.784453125001</v>
      </c>
      <c r="BI40" s="12">
        <f t="shared" ca="1" si="72"/>
        <v>-0.14109937500000003</v>
      </c>
      <c r="BJ40" s="26">
        <f t="shared" ca="1" si="73"/>
        <v>-0.49560721812434144</v>
      </c>
      <c r="BK40" s="26"/>
      <c r="BL40" s="3">
        <f t="shared" ca="1" si="83"/>
        <v>-5977.3760156249991</v>
      </c>
      <c r="BR40" s="23">
        <f t="shared" ca="1" si="84"/>
        <v>18506.474999999999</v>
      </c>
      <c r="BS40" s="23">
        <f t="shared" ca="1" si="85"/>
        <v>1948.05</v>
      </c>
      <c r="BT40" s="23">
        <f t="shared" ca="1" si="86"/>
        <v>20454.524999999998</v>
      </c>
      <c r="BU40" s="25">
        <f t="shared" ca="1" si="74"/>
        <v>0.60561660561660569</v>
      </c>
    </row>
    <row r="41" spans="1:73">
      <c r="A41" s="31">
        <f t="shared" ca="1" si="2"/>
        <v>34640.324999999997</v>
      </c>
      <c r="B41" s="23">
        <f t="shared" ca="1" si="29"/>
        <v>16624.920937499995</v>
      </c>
      <c r="C41" s="111">
        <f t="shared" ca="1" si="30"/>
        <v>22166.561249999995</v>
      </c>
      <c r="F41">
        <v>17</v>
      </c>
      <c r="G41" s="1">
        <v>0.06</v>
      </c>
      <c r="H41" s="1">
        <f>+SUM($G$24:G41)</f>
        <v>0.7200000000000002</v>
      </c>
      <c r="I41">
        <f ca="1">+$I$12*(1-SUM(G$30:G41))</f>
        <v>34964.999999999978</v>
      </c>
      <c r="J41" s="23">
        <f t="shared" ca="1" si="52"/>
        <v>6643.3499999999958</v>
      </c>
      <c r="L41" s="21">
        <f t="shared" ca="1" si="60"/>
        <v>26223.749999999985</v>
      </c>
      <c r="M41" s="21">
        <f t="shared" ca="1" si="53"/>
        <v>4982.5124999999971</v>
      </c>
      <c r="O41" s="7">
        <v>1.6500000000000001E-2</v>
      </c>
      <c r="P41" s="8">
        <f>+SUM($O$24:O41)</f>
        <v>0.19800000000000006</v>
      </c>
      <c r="Q41" s="60">
        <f ca="1">+$I$12*(1-SUM(O$30:O41))</f>
        <v>100149.74999999999</v>
      </c>
      <c r="R41" s="60">
        <f t="shared" ca="1" si="75"/>
        <v>15523.211249999998</v>
      </c>
      <c r="T41" s="21">
        <f t="shared" ca="1" si="61"/>
        <v>75112.312499999985</v>
      </c>
      <c r="U41" s="62">
        <f t="shared" ca="1" si="76"/>
        <v>11642.408437499998</v>
      </c>
      <c r="V41" s="62"/>
      <c r="W41" s="22">
        <f t="shared" ca="1" si="77"/>
        <v>22166.561249999995</v>
      </c>
      <c r="X41" s="20">
        <f t="shared" ca="1" si="78"/>
        <v>0.17750999999999997</v>
      </c>
      <c r="Y41" s="26">
        <f t="shared" ca="1" si="62"/>
        <v>0</v>
      </c>
      <c r="Z41" s="33">
        <f t="shared" ca="1" si="54"/>
        <v>0</v>
      </c>
      <c r="AA41" s="67">
        <f t="shared" ca="1" si="63"/>
        <v>0</v>
      </c>
      <c r="AB41" s="55"/>
      <c r="AC41">
        <v>17</v>
      </c>
      <c r="AD41" s="95">
        <f t="shared" ca="1" si="13"/>
        <v>22166.561249999995</v>
      </c>
      <c r="AE41" s="96">
        <f t="shared" ca="1" si="64"/>
        <v>0.17750999999999997</v>
      </c>
      <c r="AF41" s="4"/>
      <c r="AG41" s="84">
        <f t="shared" ca="1" si="55"/>
        <v>16624.920937499995</v>
      </c>
      <c r="AH41" s="11">
        <f t="shared" ca="1" si="79"/>
        <v>0.13313249999999996</v>
      </c>
      <c r="AI41" s="26">
        <f t="shared" ca="1" si="65"/>
        <v>0</v>
      </c>
      <c r="AJ41" s="31">
        <f t="shared" ca="1" si="56"/>
        <v>0</v>
      </c>
      <c r="AK41" s="87">
        <f t="shared" ca="1" si="66"/>
        <v>0</v>
      </c>
      <c r="AL41" s="33"/>
      <c r="AM41">
        <v>17</v>
      </c>
      <c r="AN41" s="99">
        <f t="shared" ca="1" si="20"/>
        <v>16624.920937499995</v>
      </c>
      <c r="AO41" s="97">
        <f t="shared" ca="1" si="67"/>
        <v>0.13313249999999996</v>
      </c>
      <c r="AP41" s="4"/>
      <c r="AQ41" s="1">
        <v>0.02</v>
      </c>
      <c r="AR41" s="1">
        <f>+SUM($AQ$29:AQ41)</f>
        <v>0.23999999999999996</v>
      </c>
      <c r="AS41" s="22">
        <f ca="1">+$I$12*(1-SUM(AQ$30:AQ41))</f>
        <v>94905</v>
      </c>
      <c r="AT41" s="22">
        <f t="shared" ca="1" si="80"/>
        <v>32742.224999999999</v>
      </c>
      <c r="AU41" s="20">
        <f t="shared" ca="1" si="81"/>
        <v>0.26219999999999999</v>
      </c>
      <c r="AV41" s="20">
        <f t="shared" ca="1" si="68"/>
        <v>0.02</v>
      </c>
      <c r="AW41" s="33">
        <f t="shared" ca="1" si="69"/>
        <v>1898.1000000000001</v>
      </c>
      <c r="AX41" s="87">
        <f t="shared" ca="1" si="70"/>
        <v>0.02</v>
      </c>
      <c r="AY41" s="87"/>
      <c r="AZ41">
        <v>17</v>
      </c>
      <c r="BA41" s="99">
        <f t="shared" ca="1" si="27"/>
        <v>34640.324999999997</v>
      </c>
      <c r="BB41" s="97">
        <f t="shared" ca="1" si="82"/>
        <v>0.27739999999999998</v>
      </c>
      <c r="BC41" s="20"/>
      <c r="BD41" s="22">
        <f t="shared" ca="1" si="57"/>
        <v>-12473.763750000002</v>
      </c>
      <c r="BE41" s="25">
        <f t="shared" ca="1" si="58"/>
        <v>-9.9890000000000007E-2</v>
      </c>
      <c r="BF41" s="4">
        <f t="shared" ca="1" si="59"/>
        <v>-0.36009372746935842</v>
      </c>
      <c r="BG41" s="25"/>
      <c r="BH41" s="10">
        <f t="shared" ca="1" si="71"/>
        <v>-18015.404062500002</v>
      </c>
      <c r="BI41" s="12">
        <f t="shared" ca="1" si="72"/>
        <v>-0.14426750000000002</v>
      </c>
      <c r="BJ41" s="26">
        <f t="shared" ca="1" si="73"/>
        <v>-0.52007029560201878</v>
      </c>
      <c r="BK41" s="26"/>
      <c r="BL41" s="3">
        <f t="shared" ca="1" si="83"/>
        <v>-5541.6403124999997</v>
      </c>
      <c r="BR41" s="23">
        <f t="shared" ca="1" si="84"/>
        <v>18031.95</v>
      </c>
      <c r="BS41" s="23">
        <f t="shared" ca="1" si="85"/>
        <v>1898.1000000000001</v>
      </c>
      <c r="BT41" s="23">
        <f t="shared" ca="1" si="86"/>
        <v>19930.05</v>
      </c>
      <c r="BU41" s="25">
        <f t="shared" ca="1" si="74"/>
        <v>0.66666666666666696</v>
      </c>
    </row>
    <row r="42" spans="1:73">
      <c r="A42" s="31">
        <f t="shared" ca="1" si="2"/>
        <v>32817.149999999994</v>
      </c>
      <c r="B42" s="23">
        <f t="shared" ca="1" si="29"/>
        <v>15317.713828124994</v>
      </c>
      <c r="C42" s="111">
        <f t="shared" ca="1" si="30"/>
        <v>20423.618437499994</v>
      </c>
      <c r="F42">
        <v>18</v>
      </c>
      <c r="G42" s="1">
        <v>0.06</v>
      </c>
      <c r="H42" s="1">
        <f>+SUM($G$24:G42)</f>
        <v>0.78000000000000025</v>
      </c>
      <c r="I42">
        <f ca="1">+$I$12*(1-SUM(G$30:G42))</f>
        <v>27472.499999999967</v>
      </c>
      <c r="J42" s="23">
        <f t="shared" ca="1" si="52"/>
        <v>5219.7749999999942</v>
      </c>
      <c r="L42" s="21">
        <f t="shared" ca="1" si="60"/>
        <v>20604.374999999975</v>
      </c>
      <c r="M42" s="21">
        <f t="shared" ca="1" si="53"/>
        <v>3914.8312499999952</v>
      </c>
      <c r="O42" s="7">
        <v>1.6500000000000001E-2</v>
      </c>
      <c r="P42" s="8">
        <f>+SUM($O$24:O42)</f>
        <v>0.21450000000000008</v>
      </c>
      <c r="Q42" s="60">
        <f ca="1">+$I$12*(1-SUM(O$30:O42))</f>
        <v>98089.312499999985</v>
      </c>
      <c r="R42" s="60">
        <f t="shared" ca="1" si="75"/>
        <v>15203.843437499998</v>
      </c>
      <c r="T42" s="21">
        <f t="shared" ca="1" si="61"/>
        <v>73566.984374999985</v>
      </c>
      <c r="U42" s="62">
        <f t="shared" ca="1" si="76"/>
        <v>11402.882578124998</v>
      </c>
      <c r="V42" s="62"/>
      <c r="W42" s="22">
        <f t="shared" ca="1" si="77"/>
        <v>20423.618437499994</v>
      </c>
      <c r="X42" s="20">
        <f t="shared" ca="1" si="78"/>
        <v>0.16355249999999996</v>
      </c>
      <c r="Y42" s="26">
        <f t="shared" ca="1" si="62"/>
        <v>0</v>
      </c>
      <c r="Z42" s="33">
        <f t="shared" ca="1" si="54"/>
        <v>0</v>
      </c>
      <c r="AA42" s="67">
        <f t="shared" ca="1" si="63"/>
        <v>0</v>
      </c>
      <c r="AB42" s="55"/>
      <c r="AC42">
        <v>18</v>
      </c>
      <c r="AD42" s="95">
        <f t="shared" ca="1" si="13"/>
        <v>20423.618437499994</v>
      </c>
      <c r="AE42" s="96">
        <f t="shared" ca="1" si="64"/>
        <v>0.16355249999999996</v>
      </c>
      <c r="AF42" s="4"/>
      <c r="AG42" s="84">
        <f t="shared" ca="1" si="55"/>
        <v>15317.713828124994</v>
      </c>
      <c r="AH42" s="11">
        <f t="shared" ca="1" si="79"/>
        <v>0.12266437499999995</v>
      </c>
      <c r="AI42" s="26">
        <f t="shared" ca="1" si="65"/>
        <v>0</v>
      </c>
      <c r="AJ42" s="31">
        <f t="shared" ca="1" si="56"/>
        <v>0</v>
      </c>
      <c r="AK42" s="87">
        <f t="shared" ca="1" si="66"/>
        <v>0</v>
      </c>
      <c r="AL42" s="33"/>
      <c r="AM42">
        <v>18</v>
      </c>
      <c r="AN42" s="99">
        <f t="shared" ca="1" si="20"/>
        <v>15317.713828124994</v>
      </c>
      <c r="AO42" s="97">
        <f t="shared" ca="1" si="67"/>
        <v>0.12266437499999995</v>
      </c>
      <c r="AP42" s="4"/>
      <c r="AQ42" s="1">
        <v>0.04</v>
      </c>
      <c r="AR42" s="1">
        <f>+SUM($AQ$29:AQ42)</f>
        <v>0.27999999999999997</v>
      </c>
      <c r="AS42" s="22">
        <f ca="1">+$I$12*(1-SUM(AQ$30:AQ42))</f>
        <v>89910</v>
      </c>
      <c r="AT42" s="22">
        <f t="shared" ca="1" si="80"/>
        <v>31018.949999999997</v>
      </c>
      <c r="AU42" s="20">
        <f t="shared" ca="1" si="81"/>
        <v>0.24839999999999998</v>
      </c>
      <c r="AV42" s="20">
        <f t="shared" ca="1" si="68"/>
        <v>0.02</v>
      </c>
      <c r="AW42" s="33">
        <f t="shared" ca="1" si="69"/>
        <v>1798.2</v>
      </c>
      <c r="AX42" s="87">
        <f t="shared" ca="1" si="70"/>
        <v>0.02</v>
      </c>
      <c r="AY42" s="87"/>
      <c r="AZ42">
        <v>18</v>
      </c>
      <c r="BA42" s="99">
        <f t="shared" ca="1" si="27"/>
        <v>32817.149999999994</v>
      </c>
      <c r="BB42" s="97">
        <f t="shared" ca="1" si="82"/>
        <v>0.26279999999999998</v>
      </c>
      <c r="BC42" s="20"/>
      <c r="BD42" s="22">
        <f t="shared" ca="1" si="57"/>
        <v>-12393.5315625</v>
      </c>
      <c r="BE42" s="25">
        <f t="shared" ca="1" si="58"/>
        <v>-9.9247500000000016E-2</v>
      </c>
      <c r="BF42" s="4">
        <f t="shared" ca="1" si="59"/>
        <v>-0.37765410958904116</v>
      </c>
      <c r="BG42" s="25"/>
      <c r="BH42" s="10">
        <f t="shared" ca="1" si="71"/>
        <v>-17499.436171875001</v>
      </c>
      <c r="BI42" s="12">
        <f t="shared" ca="1" si="72"/>
        <v>-0.14013562500000004</v>
      </c>
      <c r="BJ42" s="26">
        <f t="shared" ca="1" si="73"/>
        <v>-0.53324058219178094</v>
      </c>
      <c r="BK42" s="26"/>
      <c r="BL42" s="3">
        <f t="shared" ca="1" si="83"/>
        <v>-5105.9046093750003</v>
      </c>
      <c r="BR42" s="23">
        <f t="shared" ca="1" si="84"/>
        <v>17082.900000000001</v>
      </c>
      <c r="BS42" s="23">
        <f t="shared" ca="1" si="85"/>
        <v>1798.2</v>
      </c>
      <c r="BT42" s="23">
        <f t="shared" ca="1" si="86"/>
        <v>18881.100000000002</v>
      </c>
      <c r="BU42" s="25">
        <f t="shared" ca="1" si="74"/>
        <v>0.72354497354497394</v>
      </c>
    </row>
    <row r="43" spans="1:73">
      <c r="A43" s="31">
        <f t="shared" ca="1" si="2"/>
        <v>30993.974999999999</v>
      </c>
      <c r="B43" s="23">
        <f t="shared" ca="1" si="29"/>
        <v>14010.506718749992</v>
      </c>
      <c r="C43" s="111">
        <f t="shared" ca="1" si="30"/>
        <v>18680.675624999989</v>
      </c>
      <c r="F43">
        <v>19</v>
      </c>
      <c r="G43" s="1">
        <v>0.06</v>
      </c>
      <c r="H43" s="1">
        <f>+SUM($G$24:G43)</f>
        <v>0.8400000000000003</v>
      </c>
      <c r="I43">
        <f ca="1">+$I$12*(1-SUM(G$30:G43))</f>
        <v>19979.999999999964</v>
      </c>
      <c r="J43" s="23">
        <f t="shared" ca="1" si="52"/>
        <v>3796.199999999993</v>
      </c>
      <c r="L43" s="21">
        <f t="shared" ca="1" si="60"/>
        <v>14984.999999999973</v>
      </c>
      <c r="M43" s="21">
        <f t="shared" ca="1" si="53"/>
        <v>2847.1499999999946</v>
      </c>
      <c r="O43" s="7">
        <v>1.6500000000000001E-2</v>
      </c>
      <c r="P43" s="8">
        <f>+SUM($O$24:O43)</f>
        <v>0.23100000000000009</v>
      </c>
      <c r="Q43" s="60">
        <f ca="1">+$I$12*(1-SUM(O$30:O43))</f>
        <v>96028.874999999985</v>
      </c>
      <c r="R43" s="60">
        <f t="shared" ca="1" si="75"/>
        <v>14884.475624999997</v>
      </c>
      <c r="T43" s="21">
        <f t="shared" ca="1" si="61"/>
        <v>72021.656249999985</v>
      </c>
      <c r="U43" s="62">
        <f t="shared" ca="1" si="76"/>
        <v>11163.356718749998</v>
      </c>
      <c r="V43" s="62"/>
      <c r="W43" s="22">
        <f t="shared" ca="1" si="77"/>
        <v>18680.675624999989</v>
      </c>
      <c r="X43" s="20">
        <f t="shared" ca="1" si="78"/>
        <v>0.14959499999999992</v>
      </c>
      <c r="Y43" s="26">
        <f t="shared" ca="1" si="62"/>
        <v>0</v>
      </c>
      <c r="Z43" s="33">
        <f t="shared" ref="Z43:Z54" ca="1" si="87">+IF(ROUNDDOWN(I43/50000,0)&gt;=6,+Y43*I43,+IF(Y43&lt;2%,0,(IF((((I43/50000)-ROUNDDOWN(I43/50000,0))&gt;0.2),I43*Y43,+I43*Y43-((ROUNDUP(I43/10000,0))*10000-I43)*((Y43*100-1)/20)))))</f>
        <v>0</v>
      </c>
      <c r="AA43" s="67">
        <f t="shared" ca="1" si="63"/>
        <v>0</v>
      </c>
      <c r="AB43" s="55"/>
      <c r="AC43">
        <v>19</v>
      </c>
      <c r="AD43" s="95">
        <f t="shared" ca="1" si="13"/>
        <v>18680.675624999989</v>
      </c>
      <c r="AE43" s="96">
        <f t="shared" ca="1" si="64"/>
        <v>0.14959499999999992</v>
      </c>
      <c r="AF43" s="4"/>
      <c r="AG43" s="84">
        <f t="shared" ca="1" si="55"/>
        <v>14010.506718749992</v>
      </c>
      <c r="AH43" s="11">
        <f t="shared" ca="1" si="79"/>
        <v>0.11219624999999993</v>
      </c>
      <c r="AI43" s="26">
        <f t="shared" ca="1" si="65"/>
        <v>0</v>
      </c>
      <c r="AJ43" s="31">
        <f t="shared" ref="AJ43:AJ54" ca="1" si="88">+IF(ROUNDDOWN(L43/50000,0)&gt;=6,+AI43*L43,+IF(AI43&lt;2%,0,(IF((((L43/50000)-ROUNDDOWN(L43/50000,0))&gt;0.2),L43*AI43,+L43*AI43-((ROUNDUP(L43/10000,0))*10000-L43)*((AI43*100-1)/20)))))</f>
        <v>0</v>
      </c>
      <c r="AK43" s="87">
        <f t="shared" ca="1" si="66"/>
        <v>0</v>
      </c>
      <c r="AL43" s="33"/>
      <c r="AM43">
        <v>19</v>
      </c>
      <c r="AN43" s="99">
        <f t="shared" ca="1" si="20"/>
        <v>14010.506718749992</v>
      </c>
      <c r="AO43" s="97">
        <f t="shared" ca="1" si="67"/>
        <v>0.11219624999999993</v>
      </c>
      <c r="AP43" s="4"/>
      <c r="AQ43" s="1">
        <v>0.04</v>
      </c>
      <c r="AR43" s="1">
        <f>+SUM($AQ$29:AQ43)</f>
        <v>0.31999999999999995</v>
      </c>
      <c r="AS43" s="22">
        <f ca="1">+$I$12*(1-SUM(AQ$30:AQ43))</f>
        <v>84915</v>
      </c>
      <c r="AT43" s="22">
        <f t="shared" ca="1" si="80"/>
        <v>29295.674999999999</v>
      </c>
      <c r="AU43" s="20">
        <f t="shared" ca="1" si="81"/>
        <v>0.2346</v>
      </c>
      <c r="AV43" s="20">
        <f t="shared" ca="1" si="68"/>
        <v>0.02</v>
      </c>
      <c r="AW43" s="33">
        <f t="shared" ca="1" si="69"/>
        <v>1698.3</v>
      </c>
      <c r="AX43" s="87">
        <f t="shared" ca="1" si="70"/>
        <v>0.02</v>
      </c>
      <c r="AY43" s="87"/>
      <c r="AZ43">
        <v>19</v>
      </c>
      <c r="BA43" s="99">
        <f t="shared" ca="1" si="27"/>
        <v>30993.974999999999</v>
      </c>
      <c r="BB43" s="97">
        <f t="shared" ca="1" si="82"/>
        <v>0.24819999999999998</v>
      </c>
      <c r="BC43" s="20"/>
      <c r="BD43" s="22">
        <f t="shared" ca="1" si="57"/>
        <v>-12313.29937500001</v>
      </c>
      <c r="BE43" s="25">
        <f t="shared" ca="1" si="58"/>
        <v>-9.8605000000000054E-2</v>
      </c>
      <c r="BF43" s="4">
        <f t="shared" ca="1" si="59"/>
        <v>-0.39728041901692218</v>
      </c>
      <c r="BG43" s="25"/>
      <c r="BH43" s="10">
        <f t="shared" ca="1" si="71"/>
        <v>-16983.468281250007</v>
      </c>
      <c r="BI43" s="12">
        <f t="shared" ca="1" si="72"/>
        <v>-0.13600375000000003</v>
      </c>
      <c r="BJ43" s="26">
        <f t="shared" ca="1" si="73"/>
        <v>-0.54796031426269165</v>
      </c>
      <c r="BK43" s="26"/>
      <c r="BL43" s="3">
        <f t="shared" ca="1" si="83"/>
        <v>-4670.1689062499972</v>
      </c>
      <c r="BR43" s="23">
        <f t="shared" ca="1" si="84"/>
        <v>16133.85</v>
      </c>
      <c r="BS43" s="23">
        <f t="shared" ca="1" si="85"/>
        <v>1698.3</v>
      </c>
      <c r="BT43" s="23">
        <f t="shared" ca="1" si="86"/>
        <v>17832.150000000001</v>
      </c>
      <c r="BU43" s="25">
        <f t="shared" ca="1" si="74"/>
        <v>0.78711484593837577</v>
      </c>
    </row>
    <row r="44" spans="1:73">
      <c r="A44" s="31">
        <f t="shared" ca="1" si="2"/>
        <v>29170.800000000003</v>
      </c>
      <c r="B44" s="23">
        <f t="shared" ca="1" si="29"/>
        <v>12703.299609374995</v>
      </c>
      <c r="C44" s="111">
        <f t="shared" ca="1" si="30"/>
        <v>16937.732812499991</v>
      </c>
      <c r="F44">
        <v>20</v>
      </c>
      <c r="G44" s="1">
        <v>0.06</v>
      </c>
      <c r="H44" s="1">
        <f>+SUM($G$24:G44)</f>
        <v>0.90000000000000036</v>
      </c>
      <c r="I44">
        <f ca="1">+$I$12*(1-SUM(G$30:G44))</f>
        <v>12487.499999999956</v>
      </c>
      <c r="J44" s="23">
        <f t="shared" ca="1" si="52"/>
        <v>2372.6249999999918</v>
      </c>
      <c r="L44" s="21">
        <f t="shared" ca="1" si="60"/>
        <v>9365.6249999999673</v>
      </c>
      <c r="M44" s="21">
        <f t="shared" ca="1" si="53"/>
        <v>1779.4687499999939</v>
      </c>
      <c r="O44" s="7">
        <v>1.6500000000000001E-2</v>
      </c>
      <c r="P44" s="8">
        <f>+SUM($O$24:O44)</f>
        <v>0.24750000000000011</v>
      </c>
      <c r="Q44" s="60">
        <f ca="1">+$I$12*(1-SUM(O$30:O44))</f>
        <v>93968.4375</v>
      </c>
      <c r="R44" s="60">
        <f t="shared" ca="1" si="75"/>
        <v>14565.1078125</v>
      </c>
      <c r="T44" s="21">
        <f t="shared" ca="1" si="61"/>
        <v>70476.328125</v>
      </c>
      <c r="U44" s="62">
        <f t="shared" ca="1" si="76"/>
        <v>10923.830859375001</v>
      </c>
      <c r="V44" s="62"/>
      <c r="W44" s="22">
        <f t="shared" ca="1" si="77"/>
        <v>16937.732812499991</v>
      </c>
      <c r="X44" s="20">
        <f t="shared" ca="1" si="78"/>
        <v>0.13563749999999994</v>
      </c>
      <c r="Y44" s="26">
        <f t="shared" ca="1" si="62"/>
        <v>0</v>
      </c>
      <c r="Z44" s="33">
        <f t="shared" ca="1" si="87"/>
        <v>0</v>
      </c>
      <c r="AA44" s="67">
        <f t="shared" ca="1" si="63"/>
        <v>0</v>
      </c>
      <c r="AB44" s="55"/>
      <c r="AC44">
        <v>20</v>
      </c>
      <c r="AD44" s="95">
        <f t="shared" ca="1" si="13"/>
        <v>16937.732812499991</v>
      </c>
      <c r="AE44" s="96">
        <f t="shared" ca="1" si="64"/>
        <v>0.13563749999999994</v>
      </c>
      <c r="AF44" s="4"/>
      <c r="AG44" s="84">
        <f t="shared" ca="1" si="55"/>
        <v>12703.299609374995</v>
      </c>
      <c r="AH44" s="11">
        <f t="shared" ca="1" si="79"/>
        <v>0.10172812499999996</v>
      </c>
      <c r="AI44" s="26">
        <f t="shared" ca="1" si="65"/>
        <v>0</v>
      </c>
      <c r="AJ44" s="31">
        <f t="shared" ca="1" si="88"/>
        <v>0</v>
      </c>
      <c r="AK44" s="87">
        <f t="shared" ca="1" si="66"/>
        <v>0</v>
      </c>
      <c r="AL44" s="33"/>
      <c r="AM44">
        <v>20</v>
      </c>
      <c r="AN44" s="99">
        <f t="shared" ca="1" si="20"/>
        <v>12703.299609374995</v>
      </c>
      <c r="AO44" s="97">
        <f t="shared" ca="1" si="67"/>
        <v>0.10172812499999996</v>
      </c>
      <c r="AP44" s="4"/>
      <c r="AQ44" s="1">
        <v>0.04</v>
      </c>
      <c r="AR44" s="1">
        <f>+SUM($AQ$29:AQ44)</f>
        <v>0.35999999999999993</v>
      </c>
      <c r="AS44" s="22">
        <f ca="1">+$I$12*(1-SUM(AQ$30:AQ44))</f>
        <v>79920.000000000015</v>
      </c>
      <c r="AT44" s="22">
        <f t="shared" ca="1" si="80"/>
        <v>27572.400000000001</v>
      </c>
      <c r="AU44" s="20">
        <f t="shared" ca="1" si="81"/>
        <v>0.22080000000000002</v>
      </c>
      <c r="AV44" s="20">
        <f t="shared" ca="1" si="68"/>
        <v>0.02</v>
      </c>
      <c r="AW44" s="33">
        <f t="shared" ca="1" si="69"/>
        <v>1598.4000000000003</v>
      </c>
      <c r="AX44" s="87">
        <f t="shared" ca="1" si="70"/>
        <v>0.02</v>
      </c>
      <c r="AY44" s="87"/>
      <c r="AZ44">
        <v>20</v>
      </c>
      <c r="BA44" s="99">
        <f t="shared" ca="1" si="27"/>
        <v>29170.800000000003</v>
      </c>
      <c r="BB44" s="97">
        <f t="shared" ca="1" si="82"/>
        <v>0.23360000000000003</v>
      </c>
      <c r="BC44" s="20"/>
      <c r="BD44" s="22">
        <f t="shared" ca="1" si="57"/>
        <v>-12233.067187500012</v>
      </c>
      <c r="BE44" s="25">
        <f t="shared" ca="1" si="58"/>
        <v>-9.7962500000000091E-2</v>
      </c>
      <c r="BF44" s="4">
        <f t="shared" ca="1" si="59"/>
        <v>-0.41936001712328802</v>
      </c>
      <c r="BG44" s="25"/>
      <c r="BH44" s="10">
        <f t="shared" ca="1" si="71"/>
        <v>-16467.500390625006</v>
      </c>
      <c r="BI44" s="12">
        <f t="shared" ca="1" si="72"/>
        <v>-0.13187187500000008</v>
      </c>
      <c r="BJ44" s="26">
        <f t="shared" ca="1" si="73"/>
        <v>-0.56452001284246589</v>
      </c>
      <c r="BK44" s="26"/>
      <c r="BL44" s="3">
        <f t="shared" ca="1" si="83"/>
        <v>-4234.4332031249942</v>
      </c>
      <c r="BR44" s="23">
        <f t="shared" ca="1" si="84"/>
        <v>15184.800000000003</v>
      </c>
      <c r="BS44" s="23">
        <f t="shared" ca="1" si="85"/>
        <v>1598.4000000000003</v>
      </c>
      <c r="BT44" s="23">
        <f t="shared" ca="1" si="86"/>
        <v>16783.200000000004</v>
      </c>
      <c r="BU44" s="25">
        <f t="shared" ca="1" si="74"/>
        <v>0.85863095238095288</v>
      </c>
    </row>
    <row r="45" spans="1:73">
      <c r="A45" s="31">
        <f t="shared" ca="1" si="2"/>
        <v>27347.625000000004</v>
      </c>
      <c r="B45" s="23">
        <f t="shared" ca="1" si="29"/>
        <v>11396.092499999992</v>
      </c>
      <c r="C45" s="111">
        <f t="shared" ca="1" si="30"/>
        <v>15194.789999999988</v>
      </c>
      <c r="F45">
        <v>21</v>
      </c>
      <c r="G45" s="1">
        <v>0.06</v>
      </c>
      <c r="H45" s="1">
        <f>+SUM($G$24:G45)</f>
        <v>0.96000000000000041</v>
      </c>
      <c r="I45">
        <f ca="1">+$I$12*(1-SUM(G$30:G45))</f>
        <v>4994.9999999999491</v>
      </c>
      <c r="J45" s="23">
        <f t="shared" ca="1" si="52"/>
        <v>949.04999999999029</v>
      </c>
      <c r="L45" s="21">
        <f t="shared" ca="1" si="60"/>
        <v>3746.2499999999618</v>
      </c>
      <c r="M45" s="21">
        <f t="shared" ca="1" si="53"/>
        <v>711.78749999999275</v>
      </c>
      <c r="O45" s="7">
        <v>1.6500000000000001E-2</v>
      </c>
      <c r="P45" s="8">
        <f>+SUM($O$24:O45)</f>
        <v>0.26400000000000012</v>
      </c>
      <c r="Q45" s="60">
        <f ca="1">+$I$12*(1-SUM(O$30:O45))</f>
        <v>91907.999999999985</v>
      </c>
      <c r="R45" s="60">
        <f t="shared" ca="1" si="75"/>
        <v>14245.739999999998</v>
      </c>
      <c r="T45" s="21">
        <f t="shared" ca="1" si="61"/>
        <v>68930.999999999985</v>
      </c>
      <c r="U45" s="62">
        <f t="shared" ca="1" si="76"/>
        <v>10684.304999999998</v>
      </c>
      <c r="V45" s="62"/>
      <c r="W45" s="22">
        <f t="shared" ca="1" si="77"/>
        <v>15194.789999999988</v>
      </c>
      <c r="X45" s="20">
        <f t="shared" ca="1" si="78"/>
        <v>0.1216799999999999</v>
      </c>
      <c r="Y45" s="26">
        <f t="shared" ca="1" si="62"/>
        <v>0</v>
      </c>
      <c r="Z45" s="33">
        <f t="shared" ca="1" si="87"/>
        <v>0</v>
      </c>
      <c r="AA45" s="67">
        <f t="shared" ca="1" si="63"/>
        <v>0</v>
      </c>
      <c r="AB45" s="55"/>
      <c r="AC45">
        <v>21</v>
      </c>
      <c r="AD45" s="95">
        <f t="shared" ca="1" si="13"/>
        <v>15194.789999999988</v>
      </c>
      <c r="AE45" s="96">
        <f t="shared" ca="1" si="64"/>
        <v>0.1216799999999999</v>
      </c>
      <c r="AF45" s="4"/>
      <c r="AG45" s="84">
        <f t="shared" ca="1" si="55"/>
        <v>11396.092499999992</v>
      </c>
      <c r="AH45" s="11">
        <f t="shared" ca="1" si="79"/>
        <v>9.1259999999999938E-2</v>
      </c>
      <c r="AI45" s="26">
        <f t="shared" ca="1" si="65"/>
        <v>0</v>
      </c>
      <c r="AJ45" s="31">
        <f t="shared" ca="1" si="88"/>
        <v>0</v>
      </c>
      <c r="AK45" s="87">
        <f t="shared" ca="1" si="66"/>
        <v>0</v>
      </c>
      <c r="AL45" s="33"/>
      <c r="AM45">
        <v>21</v>
      </c>
      <c r="AN45" s="99">
        <f t="shared" ca="1" si="20"/>
        <v>11396.092499999992</v>
      </c>
      <c r="AO45" s="97">
        <f t="shared" ca="1" si="67"/>
        <v>9.1259999999999938E-2</v>
      </c>
      <c r="AP45" s="4"/>
      <c r="AQ45" s="1">
        <v>0.04</v>
      </c>
      <c r="AR45" s="1">
        <f>+SUM($AQ$29:AQ45)</f>
        <v>0.39999999999999991</v>
      </c>
      <c r="AS45" s="22">
        <f ca="1">+$I$12*(1-SUM(AQ$30:AQ45))</f>
        <v>74925.000000000015</v>
      </c>
      <c r="AT45" s="22">
        <f t="shared" ca="1" si="80"/>
        <v>25849.125000000004</v>
      </c>
      <c r="AU45" s="20">
        <f t="shared" ca="1" si="81"/>
        <v>0.20700000000000002</v>
      </c>
      <c r="AV45" s="20">
        <f t="shared" ca="1" si="68"/>
        <v>0.02</v>
      </c>
      <c r="AW45" s="33">
        <f t="shared" ca="1" si="69"/>
        <v>1498.5000000000002</v>
      </c>
      <c r="AX45" s="87">
        <f t="shared" ca="1" si="70"/>
        <v>0.02</v>
      </c>
      <c r="AY45" s="87"/>
      <c r="AZ45">
        <v>21</v>
      </c>
      <c r="BA45" s="99">
        <f t="shared" ca="1" si="27"/>
        <v>27347.625000000004</v>
      </c>
      <c r="BB45" s="97">
        <f t="shared" ca="1" si="82"/>
        <v>0.21900000000000003</v>
      </c>
      <c r="BC45" s="20"/>
      <c r="BD45" s="22">
        <f t="shared" ca="1" si="57"/>
        <v>-12152.835000000015</v>
      </c>
      <c r="BE45" s="25">
        <f t="shared" ca="1" si="58"/>
        <v>-9.7320000000000129E-2</v>
      </c>
      <c r="BF45" s="4">
        <f t="shared" ca="1" si="59"/>
        <v>-0.44438356164383613</v>
      </c>
      <c r="BG45" s="25"/>
      <c r="BH45" s="10">
        <f t="shared" ca="1" si="71"/>
        <v>-15951.532500000012</v>
      </c>
      <c r="BI45" s="12">
        <f t="shared" ca="1" si="72"/>
        <v>-0.12774000000000008</v>
      </c>
      <c r="BJ45" s="26">
        <f t="shared" ca="1" si="73"/>
        <v>-0.58328767123287706</v>
      </c>
      <c r="BK45" s="26"/>
      <c r="BL45" s="3">
        <f t="shared" ca="1" si="83"/>
        <v>-3798.6974999999966</v>
      </c>
      <c r="BR45" s="23">
        <f t="shared" ca="1" si="84"/>
        <v>14235.750000000004</v>
      </c>
      <c r="BS45" s="23">
        <f t="shared" ca="1" si="85"/>
        <v>1498.5000000000002</v>
      </c>
      <c r="BT45" s="23">
        <f t="shared" ca="1" si="86"/>
        <v>15734.250000000004</v>
      </c>
      <c r="BU45" s="25">
        <f t="shared" ca="1" si="74"/>
        <v>0.93968253968254034</v>
      </c>
    </row>
    <row r="46" spans="1:73">
      <c r="A46" s="31">
        <f t="shared" ca="1" si="2"/>
        <v>25524.449999999997</v>
      </c>
      <c r="B46" s="23">
        <f t="shared" ca="1" si="29"/>
        <v>10452.037499999991</v>
      </c>
      <c r="C46" s="111">
        <f t="shared" ca="1" si="30"/>
        <v>13936.049999999987</v>
      </c>
      <c r="F46">
        <v>22</v>
      </c>
      <c r="G46" s="1">
        <v>0.04</v>
      </c>
      <c r="H46" s="1">
        <f>+SUM($G$24:G46)</f>
        <v>1.0000000000000004</v>
      </c>
      <c r="I46" s="23">
        <f ca="1">+$I$12*(1-SUM(G$30:G46))</f>
        <v>-5.5455640080026569E-11</v>
      </c>
      <c r="J46" s="23">
        <f t="shared" ca="1" si="52"/>
        <v>-1.0536571615205048E-11</v>
      </c>
      <c r="K46" s="3"/>
      <c r="L46" s="21">
        <f t="shared" ca="1" si="60"/>
        <v>-4.1591730060019927E-11</v>
      </c>
      <c r="M46" s="21">
        <f t="shared" ca="1" si="53"/>
        <v>-7.9024287114037861E-12</v>
      </c>
      <c r="N46" s="3"/>
      <c r="O46" s="7">
        <v>1.6E-2</v>
      </c>
      <c r="P46" s="8">
        <f>+SUM($O$24:O46)</f>
        <v>0.28000000000000014</v>
      </c>
      <c r="Q46" s="60">
        <f ca="1">+$I$12*(1-SUM(O$30:O46))</f>
        <v>89909.999999999985</v>
      </c>
      <c r="R46" s="60">
        <f t="shared" ca="1" si="75"/>
        <v>13936.049999999997</v>
      </c>
      <c r="T46" s="21">
        <f t="shared" ca="1" si="61"/>
        <v>67432.499999999985</v>
      </c>
      <c r="U46" s="62">
        <f t="shared" ca="1" si="76"/>
        <v>10452.037499999999</v>
      </c>
      <c r="V46" s="62"/>
      <c r="W46" s="22">
        <f t="shared" ca="1" si="77"/>
        <v>13936.049999999987</v>
      </c>
      <c r="X46" s="20">
        <f t="shared" ca="1" si="78"/>
        <v>0.11159999999999989</v>
      </c>
      <c r="Y46" s="26">
        <f t="shared" ca="1" si="62"/>
        <v>0</v>
      </c>
      <c r="Z46" s="33">
        <f t="shared" ca="1" si="87"/>
        <v>0</v>
      </c>
      <c r="AA46" s="67">
        <f t="shared" ca="1" si="63"/>
        <v>0</v>
      </c>
      <c r="AB46" s="55"/>
      <c r="AC46">
        <v>22</v>
      </c>
      <c r="AD46" s="95">
        <f t="shared" ca="1" si="13"/>
        <v>13936.049999999987</v>
      </c>
      <c r="AE46" s="96">
        <f t="shared" ca="1" si="64"/>
        <v>0.11159999999999989</v>
      </c>
      <c r="AF46" s="4"/>
      <c r="AG46" s="84">
        <f t="shared" ca="1" si="55"/>
        <v>10452.037499999991</v>
      </c>
      <c r="AH46" s="11">
        <f t="shared" ca="1" si="79"/>
        <v>8.3699999999999927E-2</v>
      </c>
      <c r="AI46" s="26">
        <f t="shared" ca="1" si="65"/>
        <v>0</v>
      </c>
      <c r="AJ46" s="31">
        <f t="shared" ca="1" si="88"/>
        <v>0</v>
      </c>
      <c r="AK46" s="87">
        <f t="shared" ca="1" si="66"/>
        <v>0</v>
      </c>
      <c r="AL46" s="33"/>
      <c r="AM46">
        <v>22</v>
      </c>
      <c r="AN46" s="99">
        <f t="shared" ca="1" si="20"/>
        <v>10452.037499999991</v>
      </c>
      <c r="AO46" s="97">
        <f t="shared" ca="1" si="67"/>
        <v>8.3699999999999927E-2</v>
      </c>
      <c r="AP46" s="4"/>
      <c r="AQ46" s="1">
        <v>0.04</v>
      </c>
      <c r="AR46" s="1">
        <f>+SUM($AQ$29:AQ46)</f>
        <v>0.43999999999999989</v>
      </c>
      <c r="AS46" s="22">
        <f ca="1">+$I$12*(1-SUM(AQ$30:AQ46))</f>
        <v>69930</v>
      </c>
      <c r="AT46" s="22">
        <f t="shared" ca="1" si="80"/>
        <v>24125.85</v>
      </c>
      <c r="AU46" s="20">
        <f t="shared" ca="1" si="81"/>
        <v>0.19319999999999998</v>
      </c>
      <c r="AV46" s="20">
        <f t="shared" ca="1" si="68"/>
        <v>0.02</v>
      </c>
      <c r="AW46" s="33">
        <f t="shared" ca="1" si="69"/>
        <v>1398.6000000000001</v>
      </c>
      <c r="AX46" s="87">
        <f t="shared" ca="1" si="70"/>
        <v>0.02</v>
      </c>
      <c r="AY46" s="87"/>
      <c r="AZ46">
        <v>22</v>
      </c>
      <c r="BA46" s="99">
        <f t="shared" ca="1" si="27"/>
        <v>25524.449999999997</v>
      </c>
      <c r="BB46" s="97">
        <f t="shared" ca="1" si="82"/>
        <v>0.20439999999999997</v>
      </c>
      <c r="BC46" s="20"/>
      <c r="BD46" s="22">
        <f t="shared" ca="1" si="57"/>
        <v>-11588.400000000011</v>
      </c>
      <c r="BE46" s="25">
        <f t="shared" ca="1" si="58"/>
        <v>-9.2800000000000077E-2</v>
      </c>
      <c r="BF46" s="4">
        <f t="shared" ca="1" si="59"/>
        <v>-0.45401174168297503</v>
      </c>
      <c r="BG46" s="25"/>
      <c r="BH46" s="10">
        <f t="shared" ca="1" si="71"/>
        <v>-15072.412500000006</v>
      </c>
      <c r="BI46" s="12">
        <f t="shared" ca="1" si="72"/>
        <v>-0.12070000000000004</v>
      </c>
      <c r="BJ46" s="26">
        <f t="shared" ca="1" si="73"/>
        <v>-0.59050880626223123</v>
      </c>
      <c r="BK46" s="26"/>
      <c r="BL46" s="3">
        <f t="shared" ca="1" si="83"/>
        <v>-3484.0124999999953</v>
      </c>
      <c r="BR46" s="23">
        <f t="shared" ca="1" si="84"/>
        <v>13286.7</v>
      </c>
      <c r="BS46" s="23">
        <f t="shared" ca="1" si="85"/>
        <v>1398.6000000000001</v>
      </c>
      <c r="BT46" s="23">
        <f t="shared" ca="1" si="86"/>
        <v>14685.300000000001</v>
      </c>
      <c r="BU46" s="25">
        <f t="shared" ca="1" si="74"/>
        <v>1.0000000000000007</v>
      </c>
    </row>
    <row r="47" spans="1:73">
      <c r="A47" s="31">
        <f t="shared" ca="1" si="2"/>
        <v>23701.275000000005</v>
      </c>
      <c r="B47" s="23">
        <f t="shared" ca="1" si="29"/>
        <v>9145.5328124999978</v>
      </c>
      <c r="C47" s="111">
        <f t="shared" ca="1" si="30"/>
        <v>12194.043749999986</v>
      </c>
      <c r="F47">
        <v>23</v>
      </c>
      <c r="H47" s="1">
        <f>+SUM($G$24:G47)</f>
        <v>1.0000000000000004</v>
      </c>
      <c r="I47" s="23">
        <f ca="1">+$I$12*(1-SUM(G$30:G47))</f>
        <v>-5.5455640080026569E-11</v>
      </c>
      <c r="J47" s="23">
        <f t="shared" ca="1" si="52"/>
        <v>-1.0536571615205048E-11</v>
      </c>
      <c r="L47" s="21">
        <f t="shared" ca="1" si="60"/>
        <v>-4.1591730060019927E-11</v>
      </c>
      <c r="M47" s="21"/>
      <c r="O47" s="8">
        <v>0.09</v>
      </c>
      <c r="P47" s="8">
        <f>+SUM($O$24:O47)</f>
        <v>0.37000000000000011</v>
      </c>
      <c r="Q47" s="60">
        <f ca="1">+$I$12*(1-SUM(O$30:O47))</f>
        <v>78671.249999999985</v>
      </c>
      <c r="R47" s="60">
        <f t="shared" ca="1" si="75"/>
        <v>12194.043749999997</v>
      </c>
      <c r="T47" s="21">
        <f t="shared" ca="1" si="61"/>
        <v>59003.437499999985</v>
      </c>
      <c r="U47" s="62">
        <f t="shared" ca="1" si="76"/>
        <v>9145.5328124999978</v>
      </c>
      <c r="V47" s="62"/>
      <c r="W47" s="22">
        <f t="shared" ca="1" si="77"/>
        <v>12194.043749999986</v>
      </c>
      <c r="X47" s="20">
        <f t="shared" ca="1" si="78"/>
        <v>9.764999999999989E-2</v>
      </c>
      <c r="Y47" s="26">
        <f t="shared" ca="1" si="62"/>
        <v>0</v>
      </c>
      <c r="Z47" s="33">
        <f t="shared" ca="1" si="87"/>
        <v>0</v>
      </c>
      <c r="AA47" s="67">
        <f t="shared" ca="1" si="63"/>
        <v>0</v>
      </c>
      <c r="AB47" s="55"/>
      <c r="AC47">
        <v>23</v>
      </c>
      <c r="AD47" s="95">
        <f t="shared" ca="1" si="13"/>
        <v>12194.043749999986</v>
      </c>
      <c r="AE47" s="96">
        <f t="shared" ca="1" si="64"/>
        <v>9.764999999999989E-2</v>
      </c>
      <c r="AF47" s="4"/>
      <c r="AG47" s="84">
        <f t="shared" ca="1" si="55"/>
        <v>9145.5328124999978</v>
      </c>
      <c r="AH47" s="11">
        <f t="shared" ca="1" si="79"/>
        <v>7.3237499999999983E-2</v>
      </c>
      <c r="AI47" s="26">
        <f t="shared" ca="1" si="65"/>
        <v>0</v>
      </c>
      <c r="AJ47" s="31">
        <f t="shared" ca="1" si="88"/>
        <v>0</v>
      </c>
      <c r="AK47" s="87">
        <f t="shared" ca="1" si="66"/>
        <v>0</v>
      </c>
      <c r="AL47" s="33"/>
      <c r="AM47">
        <v>23</v>
      </c>
      <c r="AN47" s="99">
        <f t="shared" ca="1" si="20"/>
        <v>9145.5328124999978</v>
      </c>
      <c r="AO47" s="97">
        <f t="shared" ca="1" si="67"/>
        <v>7.3237499999999983E-2</v>
      </c>
      <c r="AP47" s="4"/>
      <c r="AQ47" s="1">
        <v>0.04</v>
      </c>
      <c r="AR47" s="1">
        <f>+SUM($AQ$29:AQ47)</f>
        <v>0.47999999999999987</v>
      </c>
      <c r="AS47" s="22">
        <f ca="1">+$I$12*(1-SUM(AQ$30:AQ47))</f>
        <v>64935.000000000015</v>
      </c>
      <c r="AT47" s="22">
        <f t="shared" ca="1" si="80"/>
        <v>22402.575000000004</v>
      </c>
      <c r="AU47" s="20">
        <f t="shared" ca="1" si="81"/>
        <v>0.17940000000000003</v>
      </c>
      <c r="AV47" s="20">
        <f t="shared" ca="1" si="68"/>
        <v>0.02</v>
      </c>
      <c r="AW47" s="33">
        <f t="shared" ca="1" si="69"/>
        <v>1298.7000000000003</v>
      </c>
      <c r="AX47" s="87">
        <f t="shared" ca="1" si="70"/>
        <v>0.02</v>
      </c>
      <c r="AY47" s="87"/>
      <c r="AZ47">
        <v>23</v>
      </c>
      <c r="BA47" s="99">
        <f t="shared" ca="1" si="27"/>
        <v>23701.275000000005</v>
      </c>
      <c r="BB47" s="97">
        <f t="shared" ca="1" si="82"/>
        <v>0.18980000000000005</v>
      </c>
      <c r="BC47" s="20"/>
      <c r="BD47" s="22">
        <f t="shared" ca="1" si="57"/>
        <v>-11507.231250000019</v>
      </c>
      <c r="BE47" s="25">
        <f t="shared" ca="1" si="58"/>
        <v>-9.2150000000000162E-2</v>
      </c>
      <c r="BF47" s="4">
        <f t="shared" ca="1" si="59"/>
        <v>-0.48551106427818824</v>
      </c>
      <c r="BG47" s="25"/>
      <c r="BH47" s="10">
        <f t="shared" ca="1" si="71"/>
        <v>-14555.742187500007</v>
      </c>
      <c r="BI47" s="12">
        <f t="shared" ca="1" si="72"/>
        <v>-0.11656250000000007</v>
      </c>
      <c r="BJ47" s="26">
        <f t="shared" ca="1" si="73"/>
        <v>-0.61413329820864082</v>
      </c>
      <c r="BK47" s="26"/>
      <c r="BL47" s="3">
        <f t="shared" ca="1" si="83"/>
        <v>-3048.5109374999884</v>
      </c>
      <c r="BR47" s="23">
        <f t="shared" ca="1" si="84"/>
        <v>12337.650000000003</v>
      </c>
      <c r="BS47" s="23">
        <f t="shared" ca="1" si="85"/>
        <v>1298.7000000000003</v>
      </c>
      <c r="BT47" s="23">
        <f t="shared" ca="1" si="86"/>
        <v>13636.350000000004</v>
      </c>
      <c r="BU47" s="25">
        <f t="shared" ca="1" si="74"/>
        <v>1.0000000000000009</v>
      </c>
    </row>
    <row r="48" spans="1:73">
      <c r="A48" s="31">
        <f t="shared" ca="1" si="2"/>
        <v>21875.100000000006</v>
      </c>
      <c r="B48" s="23">
        <f t="shared" ca="1" si="29"/>
        <v>7839.028124999998</v>
      </c>
      <c r="C48" s="111">
        <f t="shared" ca="1" si="30"/>
        <v>10452.037499999988</v>
      </c>
      <c r="F48">
        <v>24</v>
      </c>
      <c r="H48" s="1">
        <f>+SUM($G$24:G48)</f>
        <v>1.0000000000000004</v>
      </c>
      <c r="I48" s="23">
        <f ca="1">+$I$12*(1-SUM(G$30:G48))</f>
        <v>-5.5455640080026569E-11</v>
      </c>
      <c r="J48" s="23">
        <f t="shared" ca="1" si="52"/>
        <v>-1.0536571615205048E-11</v>
      </c>
      <c r="L48" s="21">
        <f t="shared" ca="1" si="60"/>
        <v>-4.1591730060019927E-11</v>
      </c>
      <c r="M48" s="21"/>
      <c r="O48" s="8">
        <v>0.09</v>
      </c>
      <c r="P48" s="8">
        <f>+SUM($O$24:O48)</f>
        <v>0.46000000000000008</v>
      </c>
      <c r="Q48" s="60">
        <f ca="1">+$I$12*(1-SUM(O$30:O48))</f>
        <v>67432.499999999985</v>
      </c>
      <c r="R48" s="60">
        <f t="shared" ca="1" si="75"/>
        <v>10452.037499999999</v>
      </c>
      <c r="T48" s="21">
        <f t="shared" ca="1" si="61"/>
        <v>50574.374999999985</v>
      </c>
      <c r="U48" s="62">
        <f t="shared" ca="1" si="76"/>
        <v>7839.028124999998</v>
      </c>
      <c r="V48" s="62"/>
      <c r="W48" s="22">
        <f t="shared" ca="1" si="77"/>
        <v>10452.037499999988</v>
      </c>
      <c r="X48" s="20">
        <f t="shared" ca="1" si="78"/>
        <v>8.3699999999999899E-2</v>
      </c>
      <c r="Y48" s="26">
        <f t="shared" ca="1" si="62"/>
        <v>0</v>
      </c>
      <c r="Z48" s="33">
        <f t="shared" ca="1" si="87"/>
        <v>0</v>
      </c>
      <c r="AA48" s="67">
        <f t="shared" ca="1" si="63"/>
        <v>0</v>
      </c>
      <c r="AB48" s="55"/>
      <c r="AC48">
        <v>24</v>
      </c>
      <c r="AD48" s="95">
        <f t="shared" ca="1" si="13"/>
        <v>10452.037499999988</v>
      </c>
      <c r="AE48" s="96">
        <f t="shared" ca="1" si="64"/>
        <v>8.3699999999999899E-2</v>
      </c>
      <c r="AF48" s="4"/>
      <c r="AG48" s="84">
        <f t="shared" ca="1" si="55"/>
        <v>7839.028124999998</v>
      </c>
      <c r="AH48" s="11">
        <f t="shared" ca="1" si="79"/>
        <v>6.2774999999999984E-2</v>
      </c>
      <c r="AI48" s="26">
        <f t="shared" ca="1" si="65"/>
        <v>0</v>
      </c>
      <c r="AJ48" s="31">
        <f t="shared" ca="1" si="88"/>
        <v>0</v>
      </c>
      <c r="AK48" s="87">
        <f t="shared" ca="1" si="66"/>
        <v>0</v>
      </c>
      <c r="AL48" s="33"/>
      <c r="AM48">
        <v>24</v>
      </c>
      <c r="AN48" s="99">
        <f t="shared" ca="1" si="20"/>
        <v>7839.028124999998</v>
      </c>
      <c r="AO48" s="97">
        <f t="shared" ca="1" si="67"/>
        <v>6.2774999999999984E-2</v>
      </c>
      <c r="AP48" s="4"/>
      <c r="AQ48" s="1">
        <v>0.04</v>
      </c>
      <c r="AR48" s="1">
        <f>+SUM($AQ$29:AQ48)</f>
        <v>0.51999999999999991</v>
      </c>
      <c r="AS48" s="22">
        <f ca="1">+$I$12*(1-SUM(AQ$30:AQ48))</f>
        <v>59940.000000000015</v>
      </c>
      <c r="AT48" s="22">
        <f t="shared" ca="1" si="80"/>
        <v>20679.300000000003</v>
      </c>
      <c r="AU48" s="20">
        <f t="shared" ca="1" si="81"/>
        <v>0.16560000000000002</v>
      </c>
      <c r="AV48" s="20">
        <f t="shared" ca="1" si="68"/>
        <v>0.02</v>
      </c>
      <c r="AW48" s="33">
        <f t="shared" ca="1" si="69"/>
        <v>1195.8000000000011</v>
      </c>
      <c r="AX48" s="87">
        <f t="shared" ca="1" si="70"/>
        <v>1.9949949949949964E-2</v>
      </c>
      <c r="AY48" s="87"/>
      <c r="AZ48">
        <v>24</v>
      </c>
      <c r="BA48" s="99">
        <f t="shared" ca="1" si="27"/>
        <v>21875.100000000006</v>
      </c>
      <c r="BB48" s="97">
        <f t="shared" ca="1" si="82"/>
        <v>0.17517597597597603</v>
      </c>
      <c r="BC48" s="20"/>
      <c r="BD48" s="22">
        <f t="shared" ca="1" si="57"/>
        <v>-11423.062500000018</v>
      </c>
      <c r="BE48" s="25">
        <f t="shared" ca="1" si="58"/>
        <v>-9.1475975975976134E-2</v>
      </c>
      <c r="BF48" s="4">
        <f t="shared" ca="1" si="59"/>
        <v>-0.52219475568111762</v>
      </c>
      <c r="BG48" s="25"/>
      <c r="BH48" s="10">
        <f t="shared" ca="1" si="71"/>
        <v>-14036.071875000009</v>
      </c>
      <c r="BI48" s="12">
        <f t="shared" ca="1" si="72"/>
        <v>-0.11240097597597605</v>
      </c>
      <c r="BJ48" s="26">
        <f t="shared" ca="1" si="73"/>
        <v>-0.64164606676083791</v>
      </c>
      <c r="BK48" s="26"/>
      <c r="BL48" s="3">
        <f t="shared" ca="1" si="83"/>
        <v>-2613.0093749999905</v>
      </c>
      <c r="BR48" s="23">
        <f t="shared" ca="1" si="84"/>
        <v>11388.600000000002</v>
      </c>
      <c r="BS48" s="23">
        <f t="shared" ca="1" si="85"/>
        <v>1195.8000000000011</v>
      </c>
      <c r="BT48" s="23">
        <f t="shared" ca="1" si="86"/>
        <v>12584.400000000003</v>
      </c>
      <c r="BU48" s="25">
        <f t="shared" ca="1" si="74"/>
        <v>1.0000000000000009</v>
      </c>
    </row>
    <row r="49" spans="1:73">
      <c r="A49" s="31">
        <f t="shared" ca="1" si="2"/>
        <v>17232.750000000004</v>
      </c>
      <c r="B49" s="23">
        <f t="shared" ca="1" si="29"/>
        <v>6532.5234374999991</v>
      </c>
      <c r="C49" s="111">
        <f t="shared" ca="1" si="30"/>
        <v>8710.0312499999873</v>
      </c>
      <c r="F49">
        <v>25</v>
      </c>
      <c r="H49" s="1">
        <f>+SUM($G$24:G49)</f>
        <v>1.0000000000000004</v>
      </c>
      <c r="I49" s="23">
        <f ca="1">+$I$12*(1-SUM(G$30:G49))</f>
        <v>-5.5455640080026569E-11</v>
      </c>
      <c r="J49" s="23">
        <f t="shared" ca="1" si="52"/>
        <v>-1.0536571615205048E-11</v>
      </c>
      <c r="L49" s="21">
        <f t="shared" ca="1" si="60"/>
        <v>-4.1591730060019927E-11</v>
      </c>
      <c r="M49" s="21"/>
      <c r="O49" s="8">
        <v>0.09</v>
      </c>
      <c r="P49" s="8">
        <f>+SUM($O$24:O49)</f>
        <v>0.55000000000000004</v>
      </c>
      <c r="Q49" s="60">
        <f ca="1">+$I$12*(1-SUM(O$30:O49))</f>
        <v>56193.749999999993</v>
      </c>
      <c r="R49" s="60">
        <f t="shared" ca="1" si="75"/>
        <v>8710.0312499999982</v>
      </c>
      <c r="T49" s="21">
        <f t="shared" ca="1" si="61"/>
        <v>42145.312499999993</v>
      </c>
      <c r="U49" s="62">
        <f t="shared" ca="1" si="76"/>
        <v>6532.5234374999991</v>
      </c>
      <c r="V49" s="62"/>
      <c r="W49" s="22">
        <f t="shared" ca="1" si="77"/>
        <v>8710.0312499999873</v>
      </c>
      <c r="X49" s="20">
        <f t="shared" ca="1" si="78"/>
        <v>6.9749999999999895E-2</v>
      </c>
      <c r="Y49" s="26">
        <f t="shared" ca="1" si="62"/>
        <v>0</v>
      </c>
      <c r="Z49" s="33">
        <f t="shared" ca="1" si="87"/>
        <v>0</v>
      </c>
      <c r="AA49" s="67">
        <f t="shared" ca="1" si="63"/>
        <v>0</v>
      </c>
      <c r="AB49" s="55"/>
      <c r="AC49">
        <v>25</v>
      </c>
      <c r="AD49" s="95">
        <f t="shared" ca="1" si="13"/>
        <v>8710.0312499999873</v>
      </c>
      <c r="AE49" s="96">
        <f t="shared" ca="1" si="64"/>
        <v>6.9749999999999895E-2</v>
      </c>
      <c r="AF49" s="4"/>
      <c r="AG49" s="84">
        <f t="shared" ca="1" si="55"/>
        <v>6532.5234374999991</v>
      </c>
      <c r="AH49" s="11">
        <f t="shared" ca="1" si="79"/>
        <v>5.2312499999999991E-2</v>
      </c>
      <c r="AI49" s="26">
        <f t="shared" ca="1" si="65"/>
        <v>0</v>
      </c>
      <c r="AJ49" s="31">
        <f t="shared" ca="1" si="88"/>
        <v>0</v>
      </c>
      <c r="AK49" s="87">
        <f t="shared" ca="1" si="66"/>
        <v>0</v>
      </c>
      <c r="AL49" s="33"/>
      <c r="AM49">
        <v>25</v>
      </c>
      <c r="AN49" s="99">
        <f t="shared" ca="1" si="20"/>
        <v>6532.5234374999991</v>
      </c>
      <c r="AO49" s="97">
        <f t="shared" ca="1" si="67"/>
        <v>5.2312499999999991E-2</v>
      </c>
      <c r="AP49" s="4"/>
      <c r="AQ49" s="1">
        <v>0.08</v>
      </c>
      <c r="AR49" s="1">
        <f>+SUM($AQ$29:AQ49)</f>
        <v>0.59999999999999987</v>
      </c>
      <c r="AS49" s="22">
        <f ca="1">+$I$12*(1-SUM(AQ$30:AQ49))</f>
        <v>49950.000000000015</v>
      </c>
      <c r="AT49" s="22">
        <f t="shared" ca="1" si="80"/>
        <v>17232.750000000004</v>
      </c>
      <c r="AU49" s="20">
        <f t="shared" ca="1" si="81"/>
        <v>0.13800000000000004</v>
      </c>
      <c r="AV49" s="20">
        <f t="shared" ca="1" si="68"/>
        <v>0</v>
      </c>
      <c r="AW49" s="33">
        <f t="shared" ca="1" si="69"/>
        <v>0</v>
      </c>
      <c r="AX49" s="87">
        <f t="shared" ca="1" si="70"/>
        <v>0</v>
      </c>
      <c r="AY49" s="87"/>
      <c r="AZ49">
        <v>25</v>
      </c>
      <c r="BA49" s="99">
        <f t="shared" ca="1" si="27"/>
        <v>17232.750000000004</v>
      </c>
      <c r="BB49" s="97">
        <f t="shared" ca="1" si="82"/>
        <v>0.13800000000000004</v>
      </c>
      <c r="BC49" s="20"/>
      <c r="BD49" s="22">
        <f t="shared" ca="1" si="57"/>
        <v>-8522.7187500000164</v>
      </c>
      <c r="BE49" s="25">
        <f t="shared" ca="1" si="58"/>
        <v>-6.8250000000000144E-2</v>
      </c>
      <c r="BF49" s="4">
        <f t="shared" ca="1" si="59"/>
        <v>-0.49456521739130521</v>
      </c>
      <c r="BG49" s="25"/>
      <c r="BH49" s="10">
        <f t="shared" ca="1" si="71"/>
        <v>-10700.226562500004</v>
      </c>
      <c r="BI49" s="12">
        <f t="shared" ca="1" si="72"/>
        <v>-8.5687500000000055E-2</v>
      </c>
      <c r="BJ49" s="26">
        <f t="shared" ca="1" si="73"/>
        <v>-0.62092391304347838</v>
      </c>
      <c r="BK49" s="26"/>
      <c r="BL49" s="3">
        <f t="shared" ca="1" si="83"/>
        <v>-2177.5078124999873</v>
      </c>
      <c r="BR49" s="23">
        <f t="shared" ca="1" si="84"/>
        <v>9490.5000000000036</v>
      </c>
      <c r="BS49" s="23">
        <f t="shared" ca="1" si="85"/>
        <v>0</v>
      </c>
      <c r="BT49" s="23">
        <f t="shared" ca="1" si="86"/>
        <v>9490.5000000000036</v>
      </c>
      <c r="BU49" s="25">
        <f t="shared" ca="1" si="74"/>
        <v>1.0000000000000011</v>
      </c>
    </row>
    <row r="50" spans="1:73">
      <c r="A50" s="31">
        <f t="shared" ca="1" si="2"/>
        <v>13786.200000000006</v>
      </c>
      <c r="B50" s="23">
        <f t="shared" ca="1" si="29"/>
        <v>5226.0187500000002</v>
      </c>
      <c r="C50" s="111">
        <f t="shared" ca="1" si="30"/>
        <v>6968.0249999999887</v>
      </c>
      <c r="F50">
        <v>26</v>
      </c>
      <c r="H50" s="1">
        <f>+SUM($G$24:G50)</f>
        <v>1.0000000000000004</v>
      </c>
      <c r="I50" s="23">
        <f ca="1">+$I$12*(1-SUM(G$30:G50))</f>
        <v>-5.5455640080026569E-11</v>
      </c>
      <c r="J50" s="23">
        <f t="shared" ca="1" si="52"/>
        <v>-1.0536571615205048E-11</v>
      </c>
      <c r="L50" s="21">
        <f t="shared" ca="1" si="60"/>
        <v>-4.1591730060019927E-11</v>
      </c>
      <c r="M50" s="21"/>
      <c r="O50" s="8">
        <v>0.09</v>
      </c>
      <c r="P50" s="8">
        <f>+SUM($O$24:O50)</f>
        <v>0.64</v>
      </c>
      <c r="Q50" s="60">
        <f ca="1">+$I$12*(1-SUM(O$30:O50))</f>
        <v>44955</v>
      </c>
      <c r="R50" s="60">
        <f t="shared" ca="1" si="75"/>
        <v>6968.0249999999996</v>
      </c>
      <c r="T50" s="21">
        <f t="shared" ca="1" si="61"/>
        <v>33716.25</v>
      </c>
      <c r="U50" s="62">
        <f t="shared" ca="1" si="76"/>
        <v>5226.0187500000002</v>
      </c>
      <c r="V50" s="62"/>
      <c r="W50" s="22">
        <f t="shared" ca="1" si="77"/>
        <v>6968.0249999999887</v>
      </c>
      <c r="X50" s="20">
        <f t="shared" ca="1" si="78"/>
        <v>5.5799999999999912E-2</v>
      </c>
      <c r="Y50" s="26">
        <f t="shared" ca="1" si="62"/>
        <v>0</v>
      </c>
      <c r="Z50" s="33">
        <f t="shared" ca="1" si="87"/>
        <v>0</v>
      </c>
      <c r="AA50" s="67">
        <f t="shared" ca="1" si="63"/>
        <v>0</v>
      </c>
      <c r="AB50" s="55"/>
      <c r="AC50">
        <v>26</v>
      </c>
      <c r="AD50" s="95">
        <f t="shared" ca="1" si="13"/>
        <v>6968.0249999999887</v>
      </c>
      <c r="AE50" s="96">
        <f t="shared" ca="1" si="64"/>
        <v>5.5799999999999912E-2</v>
      </c>
      <c r="AF50" s="4"/>
      <c r="AG50" s="84">
        <f t="shared" ca="1" si="55"/>
        <v>5226.0187500000002</v>
      </c>
      <c r="AH50" s="11">
        <f t="shared" ca="1" si="79"/>
        <v>4.1849999999999998E-2</v>
      </c>
      <c r="AI50" s="26">
        <f t="shared" ca="1" si="65"/>
        <v>0</v>
      </c>
      <c r="AJ50" s="31">
        <f t="shared" ca="1" si="88"/>
        <v>0</v>
      </c>
      <c r="AK50" s="87">
        <f t="shared" ca="1" si="66"/>
        <v>0</v>
      </c>
      <c r="AL50" s="33"/>
      <c r="AM50">
        <v>26</v>
      </c>
      <c r="AN50" s="99">
        <f t="shared" ca="1" si="20"/>
        <v>5226.0187500000002</v>
      </c>
      <c r="AO50" s="97">
        <f t="shared" ca="1" si="67"/>
        <v>4.1849999999999998E-2</v>
      </c>
      <c r="AP50" s="4"/>
      <c r="AQ50" s="1">
        <v>0.08</v>
      </c>
      <c r="AR50" s="1">
        <f>+SUM($AQ$29:AQ50)</f>
        <v>0.67999999999999983</v>
      </c>
      <c r="AS50" s="22">
        <f ca="1">+$I$12*(1-SUM(AQ$30:AQ50))</f>
        <v>39960.000000000022</v>
      </c>
      <c r="AT50" s="22">
        <f t="shared" ca="1" si="80"/>
        <v>13786.200000000006</v>
      </c>
      <c r="AU50" s="20">
        <f t="shared" ca="1" si="81"/>
        <v>0.11040000000000005</v>
      </c>
      <c r="AV50" s="20">
        <f t="shared" ca="1" si="68"/>
        <v>0</v>
      </c>
      <c r="AW50" s="33">
        <f t="shared" ca="1" si="69"/>
        <v>0</v>
      </c>
      <c r="AX50" s="87">
        <f t="shared" ca="1" si="70"/>
        <v>0</v>
      </c>
      <c r="AY50" s="87"/>
      <c r="AZ50">
        <v>26</v>
      </c>
      <c r="BA50" s="99">
        <f t="shared" ca="1" si="27"/>
        <v>13786.200000000006</v>
      </c>
      <c r="BB50" s="97">
        <f t="shared" ca="1" si="82"/>
        <v>0.11040000000000005</v>
      </c>
      <c r="BC50" s="20"/>
      <c r="BD50" s="22">
        <f t="shared" ca="1" si="57"/>
        <v>-6818.1750000000175</v>
      </c>
      <c r="BE50" s="25">
        <f t="shared" ca="1" si="58"/>
        <v>-5.4600000000000141E-2</v>
      </c>
      <c r="BF50" s="4">
        <f t="shared" ca="1" si="59"/>
        <v>-0.49456521739130538</v>
      </c>
      <c r="BG50" s="25"/>
      <c r="BH50" s="10">
        <f t="shared" ca="1" si="71"/>
        <v>-8560.1812500000051</v>
      </c>
      <c r="BI50" s="12">
        <f t="shared" ca="1" si="72"/>
        <v>-6.8550000000000055E-2</v>
      </c>
      <c r="BJ50" s="26">
        <f t="shared" ca="1" si="73"/>
        <v>-0.62092391304347838</v>
      </c>
      <c r="BK50" s="26"/>
      <c r="BL50" s="3">
        <f t="shared" ca="1" si="83"/>
        <v>-1742.0062499999876</v>
      </c>
      <c r="BR50" s="23">
        <f t="shared" ca="1" si="84"/>
        <v>7592.4000000000042</v>
      </c>
      <c r="BS50" s="23">
        <f t="shared" ca="1" si="85"/>
        <v>0</v>
      </c>
      <c r="BT50" s="23">
        <f t="shared" ca="1" si="86"/>
        <v>7592.4000000000042</v>
      </c>
      <c r="BU50" s="25">
        <f t="shared" ca="1" si="74"/>
        <v>1.0000000000000013</v>
      </c>
    </row>
    <row r="51" spans="1:73">
      <c r="A51" s="31">
        <f t="shared" ca="1" si="2"/>
        <v>10339.650000000009</v>
      </c>
      <c r="B51" s="23">
        <f t="shared" ca="1" si="29"/>
        <v>3919.5140624999999</v>
      </c>
      <c r="C51" s="111">
        <f t="shared" ca="1" si="30"/>
        <v>5226.0187499999893</v>
      </c>
      <c r="F51">
        <v>27</v>
      </c>
      <c r="H51" s="1">
        <f>+SUM($G$24:G51)</f>
        <v>1.0000000000000004</v>
      </c>
      <c r="I51" s="23">
        <f ca="1">+$I$12*(1-SUM(G$30:G51))</f>
        <v>-5.5455640080026569E-11</v>
      </c>
      <c r="J51" s="23">
        <f t="shared" ca="1" si="52"/>
        <v>-1.0536571615205048E-11</v>
      </c>
      <c r="L51" s="21">
        <f t="shared" ca="1" si="60"/>
        <v>-4.1591730060019927E-11</v>
      </c>
      <c r="M51" s="21"/>
      <c r="O51" s="8">
        <v>0.09</v>
      </c>
      <c r="P51" s="8">
        <f>+SUM($O$24:O51)</f>
        <v>0.73</v>
      </c>
      <c r="Q51" s="60">
        <f ca="1">+$I$12*(1-SUM(O$30:O51))</f>
        <v>33716.25</v>
      </c>
      <c r="R51" s="60">
        <f t="shared" ca="1" si="75"/>
        <v>5226.0187500000002</v>
      </c>
      <c r="T51" s="21">
        <f t="shared" ca="1" si="61"/>
        <v>25287.1875</v>
      </c>
      <c r="U51" s="62">
        <f t="shared" ca="1" si="76"/>
        <v>3919.5140624999999</v>
      </c>
      <c r="V51" s="62"/>
      <c r="W51" s="22">
        <f t="shared" ca="1" si="77"/>
        <v>5226.0187499999893</v>
      </c>
      <c r="X51" s="20">
        <f t="shared" ca="1" si="78"/>
        <v>4.1849999999999915E-2</v>
      </c>
      <c r="Y51" s="26">
        <f t="shared" ca="1" si="62"/>
        <v>0</v>
      </c>
      <c r="Z51" s="33">
        <f t="shared" ca="1" si="87"/>
        <v>0</v>
      </c>
      <c r="AA51" s="67">
        <f t="shared" ca="1" si="63"/>
        <v>0</v>
      </c>
      <c r="AB51" s="55"/>
      <c r="AC51">
        <v>27</v>
      </c>
      <c r="AD51" s="95">
        <f t="shared" ca="1" si="13"/>
        <v>5226.0187499999893</v>
      </c>
      <c r="AE51" s="96">
        <f t="shared" ca="1" si="64"/>
        <v>4.1849999999999915E-2</v>
      </c>
      <c r="AF51" s="4"/>
      <c r="AG51" s="84">
        <f t="shared" ca="1" si="55"/>
        <v>3919.5140624999999</v>
      </c>
      <c r="AH51" s="11">
        <f t="shared" ca="1" si="79"/>
        <v>3.1387499999999999E-2</v>
      </c>
      <c r="AI51" s="26">
        <f t="shared" ca="1" si="65"/>
        <v>0</v>
      </c>
      <c r="AJ51" s="31">
        <f t="shared" ca="1" si="88"/>
        <v>0</v>
      </c>
      <c r="AK51" s="87">
        <f t="shared" ca="1" si="66"/>
        <v>0</v>
      </c>
      <c r="AL51" s="33"/>
      <c r="AM51">
        <v>27</v>
      </c>
      <c r="AN51" s="99">
        <f t="shared" ca="1" si="20"/>
        <v>3919.5140624999999</v>
      </c>
      <c r="AO51" s="97">
        <f t="shared" ca="1" si="67"/>
        <v>3.1387499999999999E-2</v>
      </c>
      <c r="AP51" s="4"/>
      <c r="AQ51" s="1">
        <v>0.08</v>
      </c>
      <c r="AR51" s="1">
        <f>+SUM($AQ$29:AQ51)</f>
        <v>0.75999999999999979</v>
      </c>
      <c r="AS51" s="22">
        <f ca="1">+$I$12*(1-SUM(AQ$30:AQ51))</f>
        <v>29970.000000000025</v>
      </c>
      <c r="AT51" s="22">
        <f t="shared" ca="1" si="80"/>
        <v>10339.650000000009</v>
      </c>
      <c r="AU51" s="20">
        <f t="shared" ca="1" si="81"/>
        <v>8.2800000000000068E-2</v>
      </c>
      <c r="AV51" s="20">
        <f t="shared" ca="1" si="68"/>
        <v>0</v>
      </c>
      <c r="AW51" s="33">
        <f t="shared" ca="1" si="69"/>
        <v>0</v>
      </c>
      <c r="AX51" s="87">
        <f t="shared" ca="1" si="70"/>
        <v>0</v>
      </c>
      <c r="AY51" s="87"/>
      <c r="AZ51">
        <v>27</v>
      </c>
      <c r="BA51" s="99">
        <f t="shared" ca="1" si="27"/>
        <v>10339.650000000009</v>
      </c>
      <c r="BB51" s="97">
        <f t="shared" ca="1" si="82"/>
        <v>8.2800000000000068E-2</v>
      </c>
      <c r="BC51" s="20"/>
      <c r="BD51" s="22">
        <f t="shared" ca="1" si="57"/>
        <v>-5113.6312500000195</v>
      </c>
      <c r="BE51" s="25">
        <f t="shared" ca="1" si="58"/>
        <v>-4.0950000000000153E-2</v>
      </c>
      <c r="BF51" s="4">
        <f t="shared" ca="1" si="59"/>
        <v>-0.49456521739130582</v>
      </c>
      <c r="BG51" s="25"/>
      <c r="BH51" s="10">
        <f t="shared" ca="1" si="71"/>
        <v>-6420.1359375000084</v>
      </c>
      <c r="BI51" s="12">
        <f t="shared" ca="1" si="72"/>
        <v>-5.1412500000000069E-2</v>
      </c>
      <c r="BJ51" s="26">
        <f t="shared" ca="1" si="73"/>
        <v>-0.62092391304347849</v>
      </c>
      <c r="BK51" s="26"/>
      <c r="BL51" s="3">
        <f t="shared" ca="1" si="83"/>
        <v>-1306.5046874999889</v>
      </c>
      <c r="BR51" s="23">
        <f t="shared" ca="1" si="84"/>
        <v>5694.3000000000047</v>
      </c>
      <c r="BS51" s="23">
        <f t="shared" ca="1" si="85"/>
        <v>0</v>
      </c>
      <c r="BT51" s="23">
        <f t="shared" ca="1" si="86"/>
        <v>5694.3000000000047</v>
      </c>
      <c r="BU51" s="25">
        <f t="shared" ca="1" si="74"/>
        <v>1.000000000000002</v>
      </c>
    </row>
    <row r="52" spans="1:73">
      <c r="A52" s="31">
        <f t="shared" ca="1" si="2"/>
        <v>6893.1000000000104</v>
      </c>
      <c r="B52" s="23">
        <f t="shared" ca="1" si="29"/>
        <v>2613.009375000001</v>
      </c>
      <c r="C52" s="111">
        <f t="shared" ca="1" si="30"/>
        <v>3484.0124999999907</v>
      </c>
      <c r="F52">
        <v>28</v>
      </c>
      <c r="H52" s="1">
        <f>+SUM($G$24:G52)</f>
        <v>1.0000000000000004</v>
      </c>
      <c r="I52" s="23">
        <f ca="1">+$I$12*(1-SUM(G$30:G52))</f>
        <v>-5.5455640080026569E-11</v>
      </c>
      <c r="J52" s="23">
        <f t="shared" ca="1" si="52"/>
        <v>-1.0536571615205048E-11</v>
      </c>
      <c r="L52" s="21">
        <f t="shared" ca="1" si="60"/>
        <v>-4.1591730060019927E-11</v>
      </c>
      <c r="M52" s="21"/>
      <c r="O52" s="8">
        <v>0.09</v>
      </c>
      <c r="P52" s="8">
        <f>+SUM($O$24:O52)</f>
        <v>0.82</v>
      </c>
      <c r="Q52" s="60">
        <f ca="1">+$I$12*(1-SUM(O$30:O52))</f>
        <v>22477.500000000007</v>
      </c>
      <c r="R52" s="60">
        <f t="shared" ca="1" si="75"/>
        <v>3484.0125000000012</v>
      </c>
      <c r="T52" s="21">
        <f t="shared" ca="1" si="61"/>
        <v>16858.125000000007</v>
      </c>
      <c r="U52" s="62">
        <f t="shared" ca="1" si="76"/>
        <v>2613.009375000001</v>
      </c>
      <c r="V52" s="62"/>
      <c r="W52" s="22">
        <f t="shared" ca="1" si="77"/>
        <v>3484.0124999999907</v>
      </c>
      <c r="X52" s="20">
        <f t="shared" ca="1" si="78"/>
        <v>2.7899999999999925E-2</v>
      </c>
      <c r="Y52" s="26">
        <f t="shared" ca="1" si="62"/>
        <v>0</v>
      </c>
      <c r="Z52" s="33">
        <f t="shared" ca="1" si="87"/>
        <v>0</v>
      </c>
      <c r="AA52" s="67">
        <f t="shared" ca="1" si="63"/>
        <v>0</v>
      </c>
      <c r="AB52" s="55"/>
      <c r="AC52">
        <v>28</v>
      </c>
      <c r="AD52" s="95">
        <f t="shared" ca="1" si="13"/>
        <v>3484.0124999999907</v>
      </c>
      <c r="AE52" s="96">
        <f t="shared" ca="1" si="64"/>
        <v>2.7899999999999925E-2</v>
      </c>
      <c r="AF52" s="4"/>
      <c r="AG52" s="84">
        <f t="shared" ca="1" si="55"/>
        <v>2613.009375000001</v>
      </c>
      <c r="AH52" s="11">
        <f t="shared" ca="1" si="79"/>
        <v>2.092500000000001E-2</v>
      </c>
      <c r="AI52" s="26">
        <f t="shared" ca="1" si="65"/>
        <v>0</v>
      </c>
      <c r="AJ52" s="31">
        <f t="shared" ca="1" si="88"/>
        <v>0</v>
      </c>
      <c r="AK52" s="87">
        <f t="shared" ca="1" si="66"/>
        <v>0</v>
      </c>
      <c r="AL52" s="33"/>
      <c r="AM52">
        <v>28</v>
      </c>
      <c r="AN52" s="99">
        <f t="shared" ca="1" si="20"/>
        <v>2613.009375000001</v>
      </c>
      <c r="AO52" s="97">
        <f t="shared" ca="1" si="67"/>
        <v>2.092500000000001E-2</v>
      </c>
      <c r="AP52" s="4"/>
      <c r="AQ52" s="1">
        <v>0.08</v>
      </c>
      <c r="AR52" s="1">
        <f>+SUM($AQ$29:AQ52)</f>
        <v>0.83999999999999975</v>
      </c>
      <c r="AS52" s="22">
        <f ca="1">+$I$12*(1-SUM(AQ$30:AQ52))</f>
        <v>19980.000000000033</v>
      </c>
      <c r="AT52" s="22">
        <f t="shared" ca="1" si="80"/>
        <v>6893.1000000000104</v>
      </c>
      <c r="AU52" s="20">
        <f t="shared" ca="1" si="81"/>
        <v>5.5200000000000082E-2</v>
      </c>
      <c r="AV52" s="20">
        <f t="shared" ca="1" si="68"/>
        <v>0</v>
      </c>
      <c r="AW52" s="33">
        <f t="shared" ca="1" si="69"/>
        <v>0</v>
      </c>
      <c r="AX52" s="87">
        <f t="shared" ca="1" si="70"/>
        <v>0</v>
      </c>
      <c r="AY52" s="87"/>
      <c r="AZ52">
        <v>28</v>
      </c>
      <c r="BA52" s="99">
        <f t="shared" ca="1" si="27"/>
        <v>6893.1000000000104</v>
      </c>
      <c r="BB52" s="97">
        <f t="shared" ca="1" si="82"/>
        <v>5.5200000000000082E-2</v>
      </c>
      <c r="BC52" s="20"/>
      <c r="BD52" s="22">
        <f t="shared" ca="1" si="57"/>
        <v>-3409.0875000000196</v>
      </c>
      <c r="BE52" s="25">
        <f t="shared" ca="1" si="58"/>
        <v>-2.7300000000000157E-2</v>
      </c>
      <c r="BF52" s="4">
        <f t="shared" ca="1" si="59"/>
        <v>-0.49456521739130643</v>
      </c>
      <c r="BG52" s="25"/>
      <c r="BH52" s="10">
        <f t="shared" ca="1" si="71"/>
        <v>-4280.0906250000098</v>
      </c>
      <c r="BI52" s="12">
        <f t="shared" ca="1" si="72"/>
        <v>-3.4275000000000069E-2</v>
      </c>
      <c r="BJ52" s="26">
        <f t="shared" ca="1" si="73"/>
        <v>-0.62092391304347871</v>
      </c>
      <c r="BK52" s="26"/>
      <c r="BL52" s="3">
        <f t="shared" ca="1" si="83"/>
        <v>-871.00312499999018</v>
      </c>
      <c r="BR52" s="23">
        <f t="shared" ca="1" si="84"/>
        <v>3796.2000000000062</v>
      </c>
      <c r="BS52" s="23">
        <f t="shared" ca="1" si="85"/>
        <v>0</v>
      </c>
      <c r="BT52" s="23">
        <f t="shared" ca="1" si="86"/>
        <v>3796.2000000000062</v>
      </c>
      <c r="BU52" s="25">
        <f t="shared" ca="1" si="74"/>
        <v>1.0000000000000027</v>
      </c>
    </row>
    <row r="53" spans="1:73">
      <c r="A53" s="31">
        <f t="shared" ca="1" si="2"/>
        <v>3446.5500000000125</v>
      </c>
      <c r="B53" s="23">
        <f t="shared" ca="1" si="29"/>
        <v>1306.5046875000012</v>
      </c>
      <c r="C53" s="111">
        <f t="shared" ca="1" si="30"/>
        <v>1742.006249999991</v>
      </c>
      <c r="F53">
        <v>29</v>
      </c>
      <c r="H53" s="1">
        <f>+SUM($G$24:G53)</f>
        <v>1.0000000000000004</v>
      </c>
      <c r="I53" s="23">
        <f ca="1">+$I$12*(1-SUM(G$30:G53))</f>
        <v>-5.5455640080026569E-11</v>
      </c>
      <c r="J53" s="23">
        <f t="shared" ca="1" si="52"/>
        <v>-1.0536571615205048E-11</v>
      </c>
      <c r="L53" s="21">
        <f t="shared" ca="1" si="60"/>
        <v>-4.1591730060019927E-11</v>
      </c>
      <c r="M53" s="21"/>
      <c r="O53" s="8">
        <v>0.09</v>
      </c>
      <c r="P53" s="8">
        <f>+SUM($O$24:O53)</f>
        <v>0.90999999999999992</v>
      </c>
      <c r="Q53" s="60">
        <f ca="1">+$I$12*(1-SUM(O$30:O53))</f>
        <v>11238.750000000009</v>
      </c>
      <c r="R53" s="60">
        <f t="shared" ca="1" si="75"/>
        <v>1742.0062500000015</v>
      </c>
      <c r="T53" s="21">
        <f t="shared" ca="1" si="61"/>
        <v>8429.0625000000073</v>
      </c>
      <c r="U53" s="62">
        <f t="shared" ca="1" si="76"/>
        <v>1306.5046875000012</v>
      </c>
      <c r="V53" s="62"/>
      <c r="W53" s="22">
        <f t="shared" ca="1" si="77"/>
        <v>1742.006249999991</v>
      </c>
      <c r="X53" s="20">
        <f t="shared" ca="1" si="78"/>
        <v>1.3949999999999928E-2</v>
      </c>
      <c r="Y53" s="26">
        <f t="shared" ca="1" si="62"/>
        <v>0</v>
      </c>
      <c r="Z53" s="33">
        <f t="shared" ca="1" si="87"/>
        <v>0</v>
      </c>
      <c r="AA53" s="67">
        <f t="shared" ca="1" si="63"/>
        <v>0</v>
      </c>
      <c r="AB53" s="55"/>
      <c r="AC53">
        <v>29</v>
      </c>
      <c r="AD53" s="95">
        <f t="shared" ca="1" si="13"/>
        <v>1742.006249999991</v>
      </c>
      <c r="AE53" s="96">
        <f t="shared" ca="1" si="64"/>
        <v>1.3949999999999928E-2</v>
      </c>
      <c r="AF53" s="4"/>
      <c r="AG53" s="84">
        <f t="shared" ca="1" si="55"/>
        <v>1306.5046875000012</v>
      </c>
      <c r="AH53" s="11">
        <f t="shared" ca="1" si="79"/>
        <v>1.046250000000001E-2</v>
      </c>
      <c r="AI53" s="26">
        <f t="shared" ca="1" si="65"/>
        <v>0</v>
      </c>
      <c r="AJ53" s="31">
        <f t="shared" ca="1" si="88"/>
        <v>0</v>
      </c>
      <c r="AK53" s="87">
        <f t="shared" ca="1" si="66"/>
        <v>0</v>
      </c>
      <c r="AL53" s="33"/>
      <c r="AM53">
        <v>29</v>
      </c>
      <c r="AN53" s="99">
        <f t="shared" ca="1" si="20"/>
        <v>1306.5046875000012</v>
      </c>
      <c r="AO53" s="97">
        <f t="shared" ca="1" si="67"/>
        <v>1.046250000000001E-2</v>
      </c>
      <c r="AP53" s="4"/>
      <c r="AQ53" s="1">
        <v>0.08</v>
      </c>
      <c r="AR53" s="1">
        <f>+SUM($AQ$29:AQ53)</f>
        <v>0.91999999999999971</v>
      </c>
      <c r="AS53" s="22">
        <f ca="1">+$I$12*(1-SUM(AQ$30:AQ53))</f>
        <v>9990.0000000000364</v>
      </c>
      <c r="AT53" s="22">
        <f t="shared" ca="1" si="80"/>
        <v>3446.5500000000125</v>
      </c>
      <c r="AU53" s="20">
        <f t="shared" ca="1" si="81"/>
        <v>2.76000000000001E-2</v>
      </c>
      <c r="AV53" s="20">
        <f t="shared" ca="1" si="68"/>
        <v>0</v>
      </c>
      <c r="AW53" s="33">
        <f t="shared" ca="1" si="69"/>
        <v>0</v>
      </c>
      <c r="AX53" s="87">
        <f t="shared" ca="1" si="70"/>
        <v>0</v>
      </c>
      <c r="AY53" s="87"/>
      <c r="AZ53">
        <v>29</v>
      </c>
      <c r="BA53" s="99">
        <f t="shared" ca="1" si="27"/>
        <v>3446.5500000000125</v>
      </c>
      <c r="BB53" s="97">
        <f t="shared" ca="1" si="82"/>
        <v>2.76000000000001E-2</v>
      </c>
      <c r="BC53" s="20"/>
      <c r="BD53" s="22">
        <f t="shared" ca="1" si="57"/>
        <v>-1704.5437500000214</v>
      </c>
      <c r="BE53" s="25">
        <f t="shared" ca="1" si="58"/>
        <v>-1.3650000000000172E-2</v>
      </c>
      <c r="BF53" s="4">
        <f t="shared" ca="1" si="59"/>
        <v>-0.49456521739130876</v>
      </c>
      <c r="BG53" s="25"/>
      <c r="BH53" s="10">
        <f t="shared" ca="1" si="71"/>
        <v>-2140.0453125000113</v>
      </c>
      <c r="BI53" s="12">
        <f t="shared" ca="1" si="72"/>
        <v>-1.713750000000009E-2</v>
      </c>
      <c r="BJ53" s="26">
        <f t="shared" ca="1" si="73"/>
        <v>-0.62092391304347927</v>
      </c>
      <c r="BK53" s="26"/>
      <c r="BL53" s="3">
        <f t="shared" ca="1" si="83"/>
        <v>-435.50156249998986</v>
      </c>
      <c r="BR53" s="23">
        <f t="shared" ca="1" si="84"/>
        <v>1898.100000000007</v>
      </c>
      <c r="BS53" s="23">
        <f t="shared" ca="1" si="85"/>
        <v>0</v>
      </c>
      <c r="BT53" s="23">
        <f t="shared" ca="1" si="86"/>
        <v>1898.100000000007</v>
      </c>
      <c r="BU53" s="25">
        <f t="shared" ca="1" si="74"/>
        <v>1.0000000000000056</v>
      </c>
    </row>
    <row r="54" spans="1:73">
      <c r="A54" s="31">
        <f t="shared" ca="1" si="2"/>
        <v>1.4349146870706873E-11</v>
      </c>
      <c r="B54" s="23">
        <f t="shared" ca="1" si="29"/>
        <v>1.6116795398257722E-12</v>
      </c>
      <c r="C54" s="111">
        <f t="shared" ca="1" si="30"/>
        <v>0</v>
      </c>
      <c r="F54">
        <v>30</v>
      </c>
      <c r="H54" s="1">
        <f>+SUM($G$24:G54)</f>
        <v>1.0000000000000004</v>
      </c>
      <c r="I54" s="23">
        <f ca="1">+$I$12*(1-SUM(G$30:G54))</f>
        <v>-5.5455640080026569E-11</v>
      </c>
      <c r="J54" s="23">
        <f t="shared" ca="1" si="52"/>
        <v>-1.0536571615205048E-11</v>
      </c>
      <c r="L54" s="21">
        <f t="shared" ca="1" si="60"/>
        <v>-4.1591730060019927E-11</v>
      </c>
      <c r="M54" s="21"/>
      <c r="O54" s="8">
        <v>0.09</v>
      </c>
      <c r="P54" s="8">
        <f>+SUM($O$24:O54)</f>
        <v>0.99999999999999989</v>
      </c>
      <c r="Q54" s="60">
        <f ca="1">+$I$12*(1-SUM(O$30:O54))</f>
        <v>1.3863910020006642E-11</v>
      </c>
      <c r="R54" s="60">
        <f t="shared" ca="1" si="75"/>
        <v>2.1489060531010296E-12</v>
      </c>
      <c r="T54" s="21">
        <f t="shared" ca="1" si="61"/>
        <v>1.0397932515004982E-11</v>
      </c>
      <c r="U54" s="62">
        <f t="shared" ca="1" si="76"/>
        <v>1.6116795398257722E-12</v>
      </c>
      <c r="V54" s="62"/>
      <c r="W54" s="22">
        <f t="shared" ca="1" si="77"/>
        <v>-8.3876655621040186E-12</v>
      </c>
      <c r="X54" s="20">
        <f t="shared" ca="1" si="78"/>
        <v>-6.7168492989821969E-17</v>
      </c>
      <c r="Y54" s="26">
        <f t="shared" ca="1" si="62"/>
        <v>0</v>
      </c>
      <c r="Z54" s="33">
        <f t="shared" ca="1" si="87"/>
        <v>0</v>
      </c>
      <c r="AA54" s="67">
        <f t="shared" ca="1" si="63"/>
        <v>0</v>
      </c>
      <c r="AB54" s="55"/>
      <c r="AC54">
        <v>30</v>
      </c>
      <c r="AD54" s="95">
        <f ca="1">+IF(Z54+W54&lt;0,0,Z54+W54)</f>
        <v>0</v>
      </c>
      <c r="AE54" s="96">
        <f t="shared" ca="1" si="64"/>
        <v>0</v>
      </c>
      <c r="AF54" s="4"/>
      <c r="AG54" s="84">
        <f t="shared" ca="1" si="55"/>
        <v>1.6116795398257722E-12</v>
      </c>
      <c r="AH54" s="11">
        <f t="shared" ca="1" si="79"/>
        <v>1.2906342661267445E-17</v>
      </c>
      <c r="AI54" s="26">
        <f t="shared" ca="1" si="65"/>
        <v>0</v>
      </c>
      <c r="AJ54" s="31">
        <f t="shared" ca="1" si="88"/>
        <v>0</v>
      </c>
      <c r="AK54" s="87">
        <f t="shared" ca="1" si="66"/>
        <v>0</v>
      </c>
      <c r="AL54" s="33"/>
      <c r="AM54">
        <v>30</v>
      </c>
      <c r="AN54" s="99">
        <f ca="1">+IF(+AJ54+AG54&lt;0,0,+AJ54+AG54)</f>
        <v>1.6116795398257722E-12</v>
      </c>
      <c r="AO54" s="97">
        <f t="shared" ca="1" si="67"/>
        <v>1.2906342661267445E-17</v>
      </c>
      <c r="AP54" s="4"/>
      <c r="AQ54" s="1">
        <v>0.08</v>
      </c>
      <c r="AR54" s="1">
        <f>+SUM($AQ$29:AQ54)</f>
        <v>0.99999999999999967</v>
      </c>
      <c r="AS54" s="22">
        <f ca="1">+$I$12*(1-SUM(AQ$30:AQ54))</f>
        <v>4.1591730060019927E-11</v>
      </c>
      <c r="AT54" s="22">
        <f t="shared" ca="1" si="80"/>
        <v>1.4349146870706873E-11</v>
      </c>
      <c r="AU54" s="20">
        <f t="shared" ca="1" si="81"/>
        <v>1.1490808304870369E-16</v>
      </c>
      <c r="AV54" s="20">
        <f t="shared" ca="1" si="68"/>
        <v>0</v>
      </c>
      <c r="AW54" s="33">
        <f t="shared" ca="1" si="69"/>
        <v>0</v>
      </c>
      <c r="AX54" s="87">
        <f t="shared" ca="1" si="70"/>
        <v>0</v>
      </c>
      <c r="AY54" s="87"/>
      <c r="AZ54">
        <v>30</v>
      </c>
      <c r="BA54" s="99">
        <f ca="1">+IF(+AW54+AT54&lt;0,0,+AW54+AT54)</f>
        <v>1.4349146870706873E-11</v>
      </c>
      <c r="BB54" s="97">
        <f t="shared" ca="1" si="82"/>
        <v>1.1490808304870369E-16</v>
      </c>
      <c r="BC54" s="20"/>
      <c r="BD54" s="22">
        <f t="shared" ca="1" si="57"/>
        <v>-1.4349146870706873E-11</v>
      </c>
      <c r="BE54" s="25">
        <f t="shared" ca="1" si="58"/>
        <v>-1.1490808304870369E-16</v>
      </c>
      <c r="BF54" s="4"/>
      <c r="BG54" s="25"/>
      <c r="BH54" s="10">
        <f t="shared" ca="1" si="71"/>
        <v>-1.2737467330881101E-11</v>
      </c>
      <c r="BI54" s="12">
        <f t="shared" ca="1" si="72"/>
        <v>-1.0200174038743625E-16</v>
      </c>
      <c r="BR54" s="23">
        <f t="shared" ca="1" si="84"/>
        <v>7.9024287114037861E-12</v>
      </c>
      <c r="BS54" s="23">
        <f t="shared" ca="1" si="85"/>
        <v>0</v>
      </c>
      <c r="BT54" s="23">
        <f t="shared" ca="1" si="86"/>
        <v>7.9024287114037861E-12</v>
      </c>
      <c r="BU54" s="25">
        <f t="shared" ca="1" si="74"/>
        <v>2.3333333333333335</v>
      </c>
    </row>
    <row r="57" spans="1:73">
      <c r="A57">
        <v>1</v>
      </c>
      <c r="B57">
        <v>2</v>
      </c>
      <c r="C57">
        <v>3</v>
      </c>
      <c r="D57">
        <v>4</v>
      </c>
      <c r="E57">
        <v>5</v>
      </c>
      <c r="F57">
        <v>6</v>
      </c>
      <c r="G57">
        <v>7</v>
      </c>
      <c r="H57">
        <v>8</v>
      </c>
      <c r="I57">
        <v>9</v>
      </c>
      <c r="J57">
        <v>10</v>
      </c>
      <c r="K57">
        <v>11</v>
      </c>
      <c r="L57">
        <v>12</v>
      </c>
      <c r="M57">
        <v>13</v>
      </c>
      <c r="N57">
        <v>14</v>
      </c>
      <c r="O57">
        <v>15</v>
      </c>
      <c r="P57">
        <v>16</v>
      </c>
      <c r="Q57">
        <v>17</v>
      </c>
      <c r="R57">
        <v>18</v>
      </c>
      <c r="S57">
        <v>19</v>
      </c>
      <c r="T57">
        <v>20</v>
      </c>
      <c r="U57">
        <v>21</v>
      </c>
      <c r="V57">
        <v>22</v>
      </c>
      <c r="W57">
        <v>23</v>
      </c>
      <c r="X57">
        <v>24</v>
      </c>
      <c r="Y57">
        <v>25</v>
      </c>
      <c r="Z57">
        <v>26</v>
      </c>
      <c r="AA57">
        <v>27</v>
      </c>
      <c r="AB57">
        <v>28</v>
      </c>
      <c r="AC57">
        <v>29</v>
      </c>
      <c r="AD57">
        <v>30</v>
      </c>
      <c r="AE57">
        <v>31</v>
      </c>
      <c r="AF57">
        <v>32</v>
      </c>
      <c r="AG57">
        <v>33</v>
      </c>
      <c r="AH57">
        <v>34</v>
      </c>
      <c r="AI57">
        <v>35</v>
      </c>
      <c r="AJ57">
        <v>36</v>
      </c>
      <c r="AK57">
        <v>37</v>
      </c>
      <c r="AL57">
        <v>38</v>
      </c>
      <c r="AM57">
        <v>39</v>
      </c>
      <c r="AN57">
        <v>40</v>
      </c>
      <c r="AO57">
        <v>41</v>
      </c>
      <c r="AP57">
        <v>42</v>
      </c>
      <c r="AQ57">
        <v>43</v>
      </c>
      <c r="AR57">
        <v>44</v>
      </c>
      <c r="AS57">
        <v>45</v>
      </c>
      <c r="AT57">
        <v>46</v>
      </c>
      <c r="AU57">
        <v>47</v>
      </c>
      <c r="AV57">
        <v>48</v>
      </c>
      <c r="AW57">
        <v>49</v>
      </c>
      <c r="AX57">
        <v>50</v>
      </c>
      <c r="AY57">
        <v>51</v>
      </c>
      <c r="AZ57">
        <v>52</v>
      </c>
      <c r="BA57">
        <v>53</v>
      </c>
      <c r="BB57">
        <v>54</v>
      </c>
    </row>
    <row r="58" spans="1:73">
      <c r="B58">
        <v>1</v>
      </c>
      <c r="C58">
        <v>2</v>
      </c>
      <c r="D58">
        <v>3</v>
      </c>
      <c r="E58">
        <v>4</v>
      </c>
      <c r="F58">
        <v>5</v>
      </c>
      <c r="G58">
        <v>6</v>
      </c>
      <c r="H58">
        <v>7</v>
      </c>
      <c r="I58">
        <v>8</v>
      </c>
      <c r="J58">
        <v>9</v>
      </c>
      <c r="K58">
        <v>10</v>
      </c>
      <c r="L58">
        <v>11</v>
      </c>
      <c r="M58">
        <v>12</v>
      </c>
      <c r="N58">
        <v>13</v>
      </c>
      <c r="O58">
        <v>14</v>
      </c>
      <c r="P58">
        <v>15</v>
      </c>
      <c r="Q58">
        <v>16</v>
      </c>
      <c r="R58">
        <v>17</v>
      </c>
      <c r="S58">
        <v>18</v>
      </c>
      <c r="T58">
        <v>19</v>
      </c>
      <c r="U58">
        <v>20</v>
      </c>
      <c r="V58">
        <v>21</v>
      </c>
      <c r="W58">
        <v>22</v>
      </c>
      <c r="X58">
        <v>23</v>
      </c>
      <c r="Y58">
        <v>24</v>
      </c>
      <c r="Z58">
        <v>25</v>
      </c>
      <c r="AA58">
        <v>26</v>
      </c>
      <c r="AB58">
        <v>27</v>
      </c>
      <c r="AC58">
        <v>28</v>
      </c>
      <c r="AD58">
        <v>29</v>
      </c>
      <c r="AE58">
        <v>30</v>
      </c>
      <c r="AF58">
        <v>31</v>
      </c>
      <c r="AG58">
        <v>32</v>
      </c>
      <c r="AH58">
        <v>33</v>
      </c>
      <c r="AI58">
        <v>34</v>
      </c>
      <c r="AJ58">
        <v>35</v>
      </c>
      <c r="AK58">
        <v>36</v>
      </c>
      <c r="AL58">
        <v>37</v>
      </c>
      <c r="AM58">
        <v>38</v>
      </c>
      <c r="AN58">
        <v>39</v>
      </c>
      <c r="AO58">
        <v>40</v>
      </c>
      <c r="AP58">
        <v>41</v>
      </c>
      <c r="AQ58">
        <v>42</v>
      </c>
      <c r="AR58">
        <v>43</v>
      </c>
      <c r="AS58">
        <v>44</v>
      </c>
      <c r="AT58">
        <v>45</v>
      </c>
      <c r="AU58">
        <v>46</v>
      </c>
      <c r="AV58">
        <v>47</v>
      </c>
      <c r="AW58">
        <v>48</v>
      </c>
      <c r="AX58">
        <v>49</v>
      </c>
      <c r="AY58">
        <v>50</v>
      </c>
      <c r="AZ58">
        <v>51</v>
      </c>
      <c r="BA58">
        <v>52</v>
      </c>
      <c r="BB58">
        <v>53</v>
      </c>
    </row>
    <row r="59" spans="1:73">
      <c r="C59">
        <v>1</v>
      </c>
      <c r="D59">
        <v>2</v>
      </c>
      <c r="E59">
        <v>3</v>
      </c>
      <c r="F59">
        <v>4</v>
      </c>
      <c r="G59">
        <v>5</v>
      </c>
      <c r="H59">
        <v>6</v>
      </c>
      <c r="I59">
        <v>7</v>
      </c>
      <c r="J59">
        <v>8</v>
      </c>
      <c r="K59">
        <v>9</v>
      </c>
      <c r="L59">
        <v>10</v>
      </c>
      <c r="M59">
        <v>11</v>
      </c>
      <c r="N59">
        <v>12</v>
      </c>
      <c r="O59">
        <v>13</v>
      </c>
      <c r="P59">
        <v>14</v>
      </c>
      <c r="Q59">
        <v>15</v>
      </c>
      <c r="R59">
        <v>16</v>
      </c>
      <c r="S59">
        <v>17</v>
      </c>
      <c r="T59">
        <v>18</v>
      </c>
      <c r="U59">
        <v>19</v>
      </c>
      <c r="V59">
        <v>20</v>
      </c>
      <c r="W59">
        <v>21</v>
      </c>
      <c r="X59">
        <v>22</v>
      </c>
      <c r="Y59">
        <v>23</v>
      </c>
      <c r="Z59">
        <v>24</v>
      </c>
      <c r="AA59">
        <v>25</v>
      </c>
      <c r="AB59">
        <v>26</v>
      </c>
      <c r="AC59">
        <v>27</v>
      </c>
      <c r="AD59">
        <v>28</v>
      </c>
      <c r="AE59">
        <v>29</v>
      </c>
      <c r="AF59">
        <v>30</v>
      </c>
      <c r="AG59">
        <v>31</v>
      </c>
      <c r="AH59">
        <v>32</v>
      </c>
      <c r="AI59">
        <v>33</v>
      </c>
      <c r="AJ59">
        <v>34</v>
      </c>
      <c r="AK59">
        <v>35</v>
      </c>
      <c r="AL59">
        <v>36</v>
      </c>
      <c r="AM59">
        <v>37</v>
      </c>
      <c r="AN59">
        <v>38</v>
      </c>
      <c r="AO59">
        <v>39</v>
      </c>
      <c r="AP59">
        <v>40</v>
      </c>
      <c r="AQ59">
        <v>41</v>
      </c>
      <c r="AR59">
        <v>42</v>
      </c>
      <c r="AS59">
        <v>43</v>
      </c>
      <c r="AT59">
        <v>44</v>
      </c>
      <c r="AU59">
        <v>45</v>
      </c>
      <c r="AV59">
        <v>46</v>
      </c>
      <c r="AW59">
        <v>47</v>
      </c>
      <c r="AX59">
        <v>48</v>
      </c>
      <c r="AY59">
        <v>49</v>
      </c>
      <c r="AZ59">
        <v>50</v>
      </c>
      <c r="BA59">
        <v>51</v>
      </c>
      <c r="BB59">
        <v>52</v>
      </c>
    </row>
  </sheetData>
  <sheetProtection password="C19B" sheet="1" objects="1" scenarios="1" selectLockedCells="1" selectUnlockedCells="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recap</vt:lpstr>
      <vt:lpstr>with 02 08 update</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 Anvika</dc:creator>
  <cp:lastModifiedBy>Micro Anvika</cp:lastModifiedBy>
  <dcterms:created xsi:type="dcterms:W3CDTF">2013-07-30T21:42:59Z</dcterms:created>
  <dcterms:modified xsi:type="dcterms:W3CDTF">2013-10-29T09:32:27Z</dcterms:modified>
</cp:coreProperties>
</file>